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4.xml" ContentType="application/vnd.openxmlformats-officedocument.drawing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5.xml" ContentType="application/vnd.openxmlformats-officedocument.drawing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8.xml" ContentType="application/vnd.openxmlformats-officedocument.drawing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20.xml" ContentType="application/vnd.openxmlformats-officedocument.drawing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EstaPasta_de_trabalho" defaultThemeVersion="124226"/>
  <bookViews>
    <workbookView xWindow="0" yWindow="0" windowWidth="20730" windowHeight="11760"/>
  </bookViews>
  <sheets>
    <sheet name="HOME" sheetId="26" r:id="rId1"/>
    <sheet name="RESUMO_ORC_1_TRI_2014" sheetId="18" r:id="rId2"/>
    <sheet name="RESUMO_ORC_2_TRI_2014" sheetId="22" r:id="rId3"/>
    <sheet name="RESUMO_ORC_3_TRI_2014" sheetId="23" r:id="rId4"/>
    <sheet name="RESUMO_ORC_4_TRI_2014" sheetId="24" r:id="rId5"/>
    <sheet name="RES_ORC_1_SEM_2014" sheetId="25" r:id="rId6"/>
    <sheet name="RES_ORC_2_SEM_2014" sheetId="20" r:id="rId7"/>
    <sheet name="RESUMO_ORC_ANUAL_2014" sheetId="21" r:id="rId8"/>
    <sheet name="ORC_MENS_01_2014" sheetId="5" r:id="rId9"/>
    <sheet name="ORC_MENS_02_2014" sheetId="6" r:id="rId10"/>
    <sheet name="ORC_MENS_03_2014" sheetId="7" r:id="rId11"/>
    <sheet name="ORC_MENS_04_2014" sheetId="8" r:id="rId12"/>
    <sheet name="ORC_MENS_05_2014" sheetId="9" r:id="rId13"/>
    <sheet name="ORC_MENS_06_2014" sheetId="10" r:id="rId14"/>
    <sheet name="ORC_MENS_07_2014" sheetId="11" r:id="rId15"/>
    <sheet name="ORC_MENS_08_2014" sheetId="12" r:id="rId16"/>
    <sheet name="ORC_MENS_09_2014" sheetId="13" r:id="rId17"/>
    <sheet name="ORC_MENS_10_2014" sheetId="14" r:id="rId18"/>
    <sheet name="ORC_MENS_11_2014" sheetId="15" r:id="rId19"/>
    <sheet name="ORC_MENS_12_2014" sheetId="16" r:id="rId20"/>
  </sheets>
  <externalReferences>
    <externalReference r:id="rId21"/>
  </externalReferences>
  <definedNames>
    <definedName name="_xlnm.Extract" localSheetId="8">ORC_MENS_01_2014!#REF!</definedName>
    <definedName name="_xlnm.Extract" localSheetId="9">ORC_MENS_02_2014!#REF!</definedName>
    <definedName name="_xlnm.Extract" localSheetId="10">ORC_MENS_03_2014!#REF!</definedName>
    <definedName name="_xlnm.Extract" localSheetId="11">ORC_MENS_04_2014!#REF!</definedName>
    <definedName name="_xlnm.Extract" localSheetId="12">ORC_MENS_05_2014!#REF!</definedName>
    <definedName name="_xlnm.Extract" localSheetId="13">ORC_MENS_06_2014!#REF!</definedName>
    <definedName name="_xlnm.Extract" localSheetId="14">ORC_MENS_07_2014!#REF!</definedName>
    <definedName name="_xlnm.Extract" localSheetId="15">ORC_MENS_08_2014!#REF!</definedName>
    <definedName name="_xlnm.Extract" localSheetId="16">ORC_MENS_09_2014!#REF!</definedName>
    <definedName name="_xlnm.Extract" localSheetId="17">ORC_MENS_10_2014!#REF!</definedName>
    <definedName name="_xlnm.Extract" localSheetId="18">ORC_MENS_11_2014!#REF!</definedName>
    <definedName name="_xlnm.Extract" localSheetId="19">ORC_MENS_12_2014!#REF!</definedName>
    <definedName name="_xlnm.Extract" localSheetId="6">RES_ORC_2_SEM_2014!#REF!</definedName>
    <definedName name="_xlnm.Extract" localSheetId="1">RESUMO_ORC_1_TRI_2014!#REF!</definedName>
    <definedName name="_xlnm.Extract" localSheetId="2">RESUMO_ORC_2_TRI_2014!#REF!</definedName>
    <definedName name="_xlnm.Extract" localSheetId="3">RESUMO_ORC_3_TRI_2014!#REF!</definedName>
    <definedName name="_xlnm.Extract" localSheetId="4">RESUMO_ORC_4_TRI_2014!#REF!</definedName>
    <definedName name="_xlnm.Extract" localSheetId="7">RESUMO_ORC_ANUAL_2014!#REF!</definedName>
    <definedName name="_xlnm.Criteria" localSheetId="8">ORC_MENS_01_2014!#REF!</definedName>
    <definedName name="_xlnm.Criteria" localSheetId="9">ORC_MENS_02_2014!#REF!</definedName>
    <definedName name="_xlnm.Criteria" localSheetId="10">ORC_MENS_03_2014!#REF!</definedName>
    <definedName name="_xlnm.Criteria" localSheetId="11">ORC_MENS_04_2014!#REF!</definedName>
    <definedName name="_xlnm.Criteria" localSheetId="12">ORC_MENS_05_2014!#REF!</definedName>
    <definedName name="_xlnm.Criteria" localSheetId="13">ORC_MENS_06_2014!#REF!</definedName>
    <definedName name="_xlnm.Criteria" localSheetId="14">ORC_MENS_07_2014!#REF!</definedName>
    <definedName name="_xlnm.Criteria" localSheetId="15">ORC_MENS_08_2014!#REF!</definedName>
    <definedName name="_xlnm.Criteria" localSheetId="16">ORC_MENS_09_2014!#REF!</definedName>
    <definedName name="_xlnm.Criteria" localSheetId="17">ORC_MENS_10_2014!#REF!</definedName>
    <definedName name="_xlnm.Criteria" localSheetId="18">ORC_MENS_11_2014!#REF!</definedName>
    <definedName name="_xlnm.Criteria" localSheetId="19">ORC_MENS_12_2014!#REF!</definedName>
    <definedName name="_xlnm.Criteria" localSheetId="6">RES_ORC_2_SEM_2014!#REF!</definedName>
    <definedName name="_xlnm.Criteria" localSheetId="1">RESUMO_ORC_1_TRI_2014!#REF!</definedName>
    <definedName name="_xlnm.Criteria" localSheetId="2">RESUMO_ORC_2_TRI_2014!#REF!</definedName>
    <definedName name="_xlnm.Criteria" localSheetId="3">RESUMO_ORC_3_TRI_2014!#REF!</definedName>
    <definedName name="_xlnm.Criteria" localSheetId="4">RESUMO_ORC_4_TRI_2014!#REF!</definedName>
    <definedName name="_xlnm.Criteria" localSheetId="7">RESUMO_ORC_ANUAL_2014!#REF!</definedName>
    <definedName name="ID">#REF!</definedName>
    <definedName name="lstClasses">[1]Definições!$D$4:$D$7</definedName>
    <definedName name="lstMapaDeNotas">[1]Definições!#REF!</definedName>
    <definedName name="lstTipos">[1]Definições!#REF!</definedName>
  </definedNames>
  <calcPr calcId="144525"/>
</workbook>
</file>

<file path=xl/calcChain.xml><?xml version="1.0" encoding="utf-8"?>
<calcChain xmlns="http://schemas.openxmlformats.org/spreadsheetml/2006/main">
  <c r="D19" i="24" l="1"/>
  <c r="D20" i="24"/>
  <c r="D21" i="24"/>
  <c r="D22" i="24"/>
  <c r="D23" i="24"/>
  <c r="D24" i="24"/>
  <c r="D25" i="24"/>
  <c r="D26" i="24"/>
  <c r="D27" i="24"/>
  <c r="D28" i="24"/>
  <c r="E28" i="24" s="1"/>
  <c r="D29" i="24"/>
  <c r="D30" i="24"/>
  <c r="D12" i="24"/>
  <c r="E12" i="24" s="1"/>
  <c r="D13" i="24"/>
  <c r="D14" i="24"/>
  <c r="E14" i="24" s="1"/>
  <c r="D15" i="24"/>
  <c r="E15" i="24"/>
  <c r="D5" i="24"/>
  <c r="D6" i="24"/>
  <c r="D7" i="24"/>
  <c r="D8" i="24"/>
  <c r="D20" i="23"/>
  <c r="D21" i="23"/>
  <c r="D21" i="21" s="1"/>
  <c r="E21" i="21" s="1"/>
  <c r="D22" i="23"/>
  <c r="D22" i="21" s="1"/>
  <c r="E22" i="21" s="1"/>
  <c r="D23" i="23"/>
  <c r="D23" i="21" s="1"/>
  <c r="E23" i="21" s="1"/>
  <c r="D24" i="23"/>
  <c r="D24" i="21" s="1"/>
  <c r="E24" i="21" s="1"/>
  <c r="D25" i="23"/>
  <c r="D25" i="21" s="1"/>
  <c r="E25" i="21" s="1"/>
  <c r="D26" i="23"/>
  <c r="D26" i="21" s="1"/>
  <c r="E26" i="21" s="1"/>
  <c r="D27" i="23"/>
  <c r="D27" i="21" s="1"/>
  <c r="E27" i="21" s="1"/>
  <c r="D28" i="23"/>
  <c r="D29" i="23"/>
  <c r="D29" i="21" s="1"/>
  <c r="E29" i="21" s="1"/>
  <c r="D30" i="23"/>
  <c r="D30" i="21" s="1"/>
  <c r="E30" i="21" s="1"/>
  <c r="D19" i="23"/>
  <c r="D19" i="21" s="1"/>
  <c r="D13" i="23"/>
  <c r="D13" i="20" s="1"/>
  <c r="E13" i="20" s="1"/>
  <c r="D14" i="23"/>
  <c r="D14" i="20" s="1"/>
  <c r="E14" i="20" s="1"/>
  <c r="D15" i="23"/>
  <c r="D15" i="20" s="1"/>
  <c r="E15" i="20" s="1"/>
  <c r="D12" i="23"/>
  <c r="D12" i="20" s="1"/>
  <c r="E12" i="20" s="1"/>
  <c r="D6" i="23"/>
  <c r="D7" i="23"/>
  <c r="D7" i="20" s="1"/>
  <c r="E7" i="20" s="1"/>
  <c r="D8" i="23"/>
  <c r="D5" i="23"/>
  <c r="E8" i="23"/>
  <c r="D20" i="22"/>
  <c r="E20" i="22" s="1"/>
  <c r="D21" i="22"/>
  <c r="D22" i="22"/>
  <c r="E22" i="22" s="1"/>
  <c r="D23" i="22"/>
  <c r="E23" i="22" s="1"/>
  <c r="D24" i="22"/>
  <c r="E24" i="22" s="1"/>
  <c r="D25" i="22"/>
  <c r="D26" i="22"/>
  <c r="E26" i="22" s="1"/>
  <c r="D27" i="22"/>
  <c r="E27" i="22" s="1"/>
  <c r="D28" i="22"/>
  <c r="E28" i="22" s="1"/>
  <c r="D29" i="22"/>
  <c r="D30" i="22"/>
  <c r="E30" i="22" s="1"/>
  <c r="D19" i="22"/>
  <c r="D13" i="22"/>
  <c r="E13" i="22" s="1"/>
  <c r="D14" i="22"/>
  <c r="D15" i="22"/>
  <c r="E15" i="22" s="1"/>
  <c r="D12" i="22"/>
  <c r="D6" i="22"/>
  <c r="D7" i="22"/>
  <c r="D8" i="22"/>
  <c r="D5" i="22"/>
  <c r="C20" i="24"/>
  <c r="F20" i="24" s="1"/>
  <c r="C21" i="24"/>
  <c r="C22" i="24"/>
  <c r="F22" i="24" s="1"/>
  <c r="C23" i="24"/>
  <c r="C24" i="24"/>
  <c r="F24" i="24" s="1"/>
  <c r="C25" i="24"/>
  <c r="C26" i="24"/>
  <c r="F26" i="24" s="1"/>
  <c r="C27" i="24"/>
  <c r="C28" i="24"/>
  <c r="F28" i="24" s="1"/>
  <c r="C29" i="24"/>
  <c r="C30" i="24"/>
  <c r="C19" i="24"/>
  <c r="C13" i="24"/>
  <c r="F13" i="24" s="1"/>
  <c r="C14" i="24"/>
  <c r="C15" i="24"/>
  <c r="C12" i="24"/>
  <c r="F14" i="24"/>
  <c r="C6" i="24"/>
  <c r="C7" i="24"/>
  <c r="F7" i="24" s="1"/>
  <c r="C8" i="24"/>
  <c r="C5" i="24"/>
  <c r="C20" i="23"/>
  <c r="C21" i="23"/>
  <c r="C21" i="20" s="1"/>
  <c r="C22" i="23"/>
  <c r="C23" i="23"/>
  <c r="C23" i="20" s="1"/>
  <c r="C24" i="23"/>
  <c r="C25" i="23"/>
  <c r="C25" i="20" s="1"/>
  <c r="C26" i="23"/>
  <c r="C27" i="23"/>
  <c r="C27" i="20" s="1"/>
  <c r="C28" i="23"/>
  <c r="C29" i="23"/>
  <c r="C29" i="20" s="1"/>
  <c r="C30" i="23"/>
  <c r="C19" i="23"/>
  <c r="C19" i="20" s="1"/>
  <c r="C13" i="23"/>
  <c r="C14" i="23"/>
  <c r="C15" i="23"/>
  <c r="C12" i="23"/>
  <c r="C12" i="20" s="1"/>
  <c r="C6" i="23"/>
  <c r="C6" i="20" s="1"/>
  <c r="C7" i="23"/>
  <c r="C8" i="23"/>
  <c r="C5" i="23"/>
  <c r="C5" i="20" s="1"/>
  <c r="C20" i="22"/>
  <c r="C21" i="22"/>
  <c r="C22" i="22"/>
  <c r="C23" i="22"/>
  <c r="C24" i="22"/>
  <c r="C25" i="22"/>
  <c r="C26" i="22"/>
  <c r="C27" i="22"/>
  <c r="C28" i="22"/>
  <c r="C29" i="22"/>
  <c r="C30" i="22"/>
  <c r="C19" i="22"/>
  <c r="C13" i="22"/>
  <c r="C14" i="22"/>
  <c r="C15" i="22"/>
  <c r="C12" i="22"/>
  <c r="C16" i="22" s="1"/>
  <c r="C6" i="22"/>
  <c r="C7" i="22"/>
  <c r="C8" i="22"/>
  <c r="C5" i="22"/>
  <c r="E30" i="24"/>
  <c r="E29" i="24"/>
  <c r="E27" i="24"/>
  <c r="E26" i="24"/>
  <c r="E25" i="24"/>
  <c r="E24" i="24"/>
  <c r="E23" i="24"/>
  <c r="E22" i="24"/>
  <c r="E21" i="24"/>
  <c r="E20" i="24"/>
  <c r="E19" i="24"/>
  <c r="F15" i="24"/>
  <c r="E13" i="24"/>
  <c r="E8" i="24"/>
  <c r="E6" i="24"/>
  <c r="C9" i="24"/>
  <c r="I5" i="24" s="1"/>
  <c r="E30" i="23"/>
  <c r="F29" i="23"/>
  <c r="F28" i="23"/>
  <c r="F27" i="23"/>
  <c r="E26" i="23"/>
  <c r="F25" i="23"/>
  <c r="F24" i="23"/>
  <c r="F23" i="23"/>
  <c r="E22" i="23"/>
  <c r="F22" i="23"/>
  <c r="E20" i="23"/>
  <c r="F20" i="23"/>
  <c r="C31" i="23"/>
  <c r="E15" i="23"/>
  <c r="E14" i="23"/>
  <c r="E13" i="23"/>
  <c r="E12" i="23"/>
  <c r="E6" i="23"/>
  <c r="C9" i="23"/>
  <c r="I5" i="23" s="1"/>
  <c r="E29" i="22"/>
  <c r="E25" i="22"/>
  <c r="E21" i="22"/>
  <c r="E14" i="22"/>
  <c r="D16" i="22"/>
  <c r="F8" i="22"/>
  <c r="D20" i="18"/>
  <c r="D20" i="25" s="1"/>
  <c r="E20" i="25" s="1"/>
  <c r="D21" i="18"/>
  <c r="D21" i="25" s="1"/>
  <c r="E21" i="25" s="1"/>
  <c r="D22" i="18"/>
  <c r="D22" i="25" s="1"/>
  <c r="E22" i="25" s="1"/>
  <c r="D23" i="18"/>
  <c r="D23" i="25" s="1"/>
  <c r="E23" i="25" s="1"/>
  <c r="D24" i="18"/>
  <c r="D24" i="25" s="1"/>
  <c r="E24" i="25" s="1"/>
  <c r="D25" i="18"/>
  <c r="D25" i="25" s="1"/>
  <c r="E25" i="25" s="1"/>
  <c r="D26" i="18"/>
  <c r="D26" i="25" s="1"/>
  <c r="E26" i="25" s="1"/>
  <c r="D27" i="18"/>
  <c r="D27" i="25" s="1"/>
  <c r="E27" i="25" s="1"/>
  <c r="D28" i="18"/>
  <c r="D28" i="25" s="1"/>
  <c r="E28" i="25" s="1"/>
  <c r="D29" i="18"/>
  <c r="D29" i="25" s="1"/>
  <c r="E29" i="25" s="1"/>
  <c r="D30" i="18"/>
  <c r="E30" i="18" s="1"/>
  <c r="D19" i="18"/>
  <c r="D19" i="25" s="1"/>
  <c r="C20" i="18"/>
  <c r="C21" i="18"/>
  <c r="C22" i="18"/>
  <c r="C22" i="25" s="1"/>
  <c r="C23" i="18"/>
  <c r="C24" i="18"/>
  <c r="C24" i="25" s="1"/>
  <c r="C25" i="18"/>
  <c r="F25" i="18" s="1"/>
  <c r="C26" i="18"/>
  <c r="C26" i="25" s="1"/>
  <c r="C27" i="18"/>
  <c r="F27" i="18" s="1"/>
  <c r="C28" i="18"/>
  <c r="C28" i="25" s="1"/>
  <c r="C29" i="18"/>
  <c r="C30" i="18"/>
  <c r="C30" i="25" s="1"/>
  <c r="C19" i="18"/>
  <c r="D13" i="18"/>
  <c r="D13" i="25" s="1"/>
  <c r="D14" i="18"/>
  <c r="D14" i="25" s="1"/>
  <c r="D15" i="18"/>
  <c r="D15" i="25" s="1"/>
  <c r="D12" i="18"/>
  <c r="E12" i="18" s="1"/>
  <c r="C13" i="18"/>
  <c r="C13" i="25" s="1"/>
  <c r="C14" i="18"/>
  <c r="C14" i="25" s="1"/>
  <c r="C15" i="18"/>
  <c r="C15" i="25" s="1"/>
  <c r="C12" i="18"/>
  <c r="C12" i="25" s="1"/>
  <c r="D6" i="18"/>
  <c r="D7" i="18"/>
  <c r="D7" i="25" s="1"/>
  <c r="D8" i="18"/>
  <c r="F8" i="18" s="1"/>
  <c r="D5" i="18"/>
  <c r="D5" i="25" s="1"/>
  <c r="C6" i="18"/>
  <c r="C6" i="25" s="1"/>
  <c r="C7" i="18"/>
  <c r="F7" i="18" s="1"/>
  <c r="C8" i="18"/>
  <c r="C8" i="25" s="1"/>
  <c r="C5" i="18"/>
  <c r="C5" i="25" s="1"/>
  <c r="F29" i="18"/>
  <c r="E29" i="18"/>
  <c r="F28" i="18"/>
  <c r="E27" i="18"/>
  <c r="F26" i="18"/>
  <c r="E25" i="18"/>
  <c r="F24" i="18"/>
  <c r="F23" i="18"/>
  <c r="E23" i="18"/>
  <c r="E21" i="18"/>
  <c r="F20" i="18"/>
  <c r="E19" i="18"/>
  <c r="F13" i="18"/>
  <c r="F12" i="18"/>
  <c r="E8" i="18"/>
  <c r="F6" i="18"/>
  <c r="E6" i="18"/>
  <c r="F5" i="18"/>
  <c r="D31" i="16"/>
  <c r="C31" i="16"/>
  <c r="I6" i="16" s="1"/>
  <c r="F30" i="16"/>
  <c r="E30" i="16"/>
  <c r="F29" i="16"/>
  <c r="E29" i="16"/>
  <c r="F28" i="16"/>
  <c r="E28" i="16"/>
  <c r="F27" i="16"/>
  <c r="E27" i="16"/>
  <c r="F26" i="16"/>
  <c r="E26" i="16"/>
  <c r="F25" i="16"/>
  <c r="E25" i="16"/>
  <c r="F24" i="16"/>
  <c r="E24" i="16"/>
  <c r="F23" i="16"/>
  <c r="E23" i="16"/>
  <c r="F22" i="16"/>
  <c r="E22" i="16"/>
  <c r="F21" i="16"/>
  <c r="E21" i="16"/>
  <c r="F20" i="16"/>
  <c r="E20" i="16"/>
  <c r="F19" i="16"/>
  <c r="E19" i="16"/>
  <c r="E31" i="16" s="1"/>
  <c r="D16" i="16"/>
  <c r="C16" i="16"/>
  <c r="F15" i="16"/>
  <c r="E15" i="16"/>
  <c r="F14" i="16"/>
  <c r="E14" i="16"/>
  <c r="F13" i="16"/>
  <c r="E13" i="16"/>
  <c r="F12" i="16"/>
  <c r="E12" i="16"/>
  <c r="D9" i="16"/>
  <c r="J5" i="16" s="1"/>
  <c r="C9" i="16"/>
  <c r="I5" i="16" s="1"/>
  <c r="F8" i="16"/>
  <c r="E8" i="16"/>
  <c r="F7" i="16"/>
  <c r="E7" i="16"/>
  <c r="F6" i="16"/>
  <c r="E6" i="16"/>
  <c r="F5" i="16"/>
  <c r="E5" i="16"/>
  <c r="D31" i="15"/>
  <c r="C31" i="15"/>
  <c r="F30" i="15"/>
  <c r="E30" i="15"/>
  <c r="F29" i="15"/>
  <c r="E29" i="15"/>
  <c r="F28" i="15"/>
  <c r="E28" i="15"/>
  <c r="F27" i="15"/>
  <c r="E27" i="15"/>
  <c r="F26" i="15"/>
  <c r="E26" i="15"/>
  <c r="F25" i="15"/>
  <c r="E25" i="15"/>
  <c r="F24" i="15"/>
  <c r="E24" i="15"/>
  <c r="F23" i="15"/>
  <c r="E23" i="15"/>
  <c r="F22" i="15"/>
  <c r="E22" i="15"/>
  <c r="F21" i="15"/>
  <c r="E21" i="15"/>
  <c r="F20" i="15"/>
  <c r="E20" i="15"/>
  <c r="F19" i="15"/>
  <c r="E19" i="15"/>
  <c r="D16" i="15"/>
  <c r="C16" i="15"/>
  <c r="F15" i="15"/>
  <c r="E15" i="15"/>
  <c r="F14" i="15"/>
  <c r="E14" i="15"/>
  <c r="F13" i="15"/>
  <c r="E13" i="15"/>
  <c r="F12" i="15"/>
  <c r="F16" i="15" s="1"/>
  <c r="E12" i="15"/>
  <c r="D9" i="15"/>
  <c r="C9" i="15"/>
  <c r="I5" i="15" s="1"/>
  <c r="F8" i="15"/>
  <c r="E8" i="15"/>
  <c r="F7" i="15"/>
  <c r="E7" i="15"/>
  <c r="J6" i="15"/>
  <c r="I6" i="15"/>
  <c r="F6" i="15"/>
  <c r="E6" i="15"/>
  <c r="J5" i="15"/>
  <c r="F5" i="15"/>
  <c r="E5" i="15"/>
  <c r="D31" i="14"/>
  <c r="C31" i="14"/>
  <c r="I6" i="14" s="1"/>
  <c r="F30" i="14"/>
  <c r="E30" i="14"/>
  <c r="F29" i="14"/>
  <c r="E29" i="14"/>
  <c r="F28" i="14"/>
  <c r="E28" i="14"/>
  <c r="F27" i="14"/>
  <c r="E27" i="14"/>
  <c r="F26" i="14"/>
  <c r="E26" i="14"/>
  <c r="F25" i="14"/>
  <c r="E25" i="14"/>
  <c r="F24" i="14"/>
  <c r="E24" i="14"/>
  <c r="F23" i="14"/>
  <c r="E23" i="14"/>
  <c r="F22" i="14"/>
  <c r="E22" i="14"/>
  <c r="F21" i="14"/>
  <c r="E21" i="14"/>
  <c r="F20" i="14"/>
  <c r="E20" i="14"/>
  <c r="F19" i="14"/>
  <c r="E19" i="14"/>
  <c r="E31" i="14" s="1"/>
  <c r="D16" i="14"/>
  <c r="C16" i="14"/>
  <c r="F15" i="14"/>
  <c r="E15" i="14"/>
  <c r="F14" i="14"/>
  <c r="E14" i="14"/>
  <c r="F13" i="14"/>
  <c r="E13" i="14"/>
  <c r="F12" i="14"/>
  <c r="E12" i="14"/>
  <c r="D9" i="14"/>
  <c r="J5" i="14" s="1"/>
  <c r="J7" i="14" s="1"/>
  <c r="C9" i="14"/>
  <c r="I5" i="14" s="1"/>
  <c r="F8" i="14"/>
  <c r="E8" i="14"/>
  <c r="F7" i="14"/>
  <c r="E7" i="14"/>
  <c r="J6" i="14"/>
  <c r="F6" i="14"/>
  <c r="E6" i="14"/>
  <c r="F5" i="14"/>
  <c r="E5" i="14"/>
  <c r="D31" i="13"/>
  <c r="J6" i="13" s="1"/>
  <c r="C31" i="13"/>
  <c r="F30" i="13"/>
  <c r="E30" i="13"/>
  <c r="F29" i="13"/>
  <c r="E29" i="13"/>
  <c r="F28" i="13"/>
  <c r="E28" i="13"/>
  <c r="F27" i="13"/>
  <c r="E27" i="13"/>
  <c r="F26" i="13"/>
  <c r="E26" i="13"/>
  <c r="F25" i="13"/>
  <c r="E25" i="13"/>
  <c r="F24" i="13"/>
  <c r="E24" i="13"/>
  <c r="F23" i="13"/>
  <c r="E23" i="13"/>
  <c r="F22" i="13"/>
  <c r="E22" i="13"/>
  <c r="F21" i="13"/>
  <c r="E21" i="13"/>
  <c r="F20" i="13"/>
  <c r="E20" i="13"/>
  <c r="F19" i="13"/>
  <c r="F31" i="13" s="1"/>
  <c r="E19" i="13"/>
  <c r="E31" i="13" s="1"/>
  <c r="D16" i="13"/>
  <c r="C16" i="13"/>
  <c r="F15" i="13"/>
  <c r="E15" i="13"/>
  <c r="F14" i="13"/>
  <c r="E14" i="13"/>
  <c r="F13" i="13"/>
  <c r="E13" i="13"/>
  <c r="F12" i="13"/>
  <c r="E12" i="13"/>
  <c r="E16" i="13" s="1"/>
  <c r="D9" i="13"/>
  <c r="J5" i="13" s="1"/>
  <c r="J7" i="13" s="1"/>
  <c r="C9" i="13"/>
  <c r="I5" i="13" s="1"/>
  <c r="F8" i="13"/>
  <c r="E8" i="13"/>
  <c r="F7" i="13"/>
  <c r="E7" i="13"/>
  <c r="I6" i="13"/>
  <c r="F6" i="13"/>
  <c r="E6" i="13"/>
  <c r="F5" i="13"/>
  <c r="E5" i="13"/>
  <c r="D31" i="12"/>
  <c r="C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F21" i="12"/>
  <c r="E21" i="12"/>
  <c r="F20" i="12"/>
  <c r="E20" i="12"/>
  <c r="F19" i="12"/>
  <c r="F31" i="12" s="1"/>
  <c r="E19" i="12"/>
  <c r="D16" i="12"/>
  <c r="C16" i="12"/>
  <c r="F15" i="12"/>
  <c r="E15" i="12"/>
  <c r="F14" i="12"/>
  <c r="E14" i="12"/>
  <c r="F13" i="12"/>
  <c r="E13" i="12"/>
  <c r="F12" i="12"/>
  <c r="F16" i="12" s="1"/>
  <c r="E12" i="12"/>
  <c r="D9" i="12"/>
  <c r="J5" i="12" s="1"/>
  <c r="J7" i="12" s="1"/>
  <c r="C9" i="12"/>
  <c r="F8" i="12"/>
  <c r="E8" i="12"/>
  <c r="F7" i="12"/>
  <c r="E7" i="12"/>
  <c r="J6" i="12"/>
  <c r="I6" i="12"/>
  <c r="F6" i="12"/>
  <c r="E6" i="12"/>
  <c r="I5" i="12"/>
  <c r="I7" i="12" s="1"/>
  <c r="F5" i="12"/>
  <c r="F9" i="12" s="1"/>
  <c r="E5" i="12"/>
  <c r="D31" i="11"/>
  <c r="C31" i="11"/>
  <c r="F30" i="11"/>
  <c r="E30" i="11"/>
  <c r="F29" i="11"/>
  <c r="E29" i="11"/>
  <c r="F28" i="11"/>
  <c r="E28" i="11"/>
  <c r="F27" i="11"/>
  <c r="E27" i="11"/>
  <c r="F26" i="11"/>
  <c r="E26" i="11"/>
  <c r="F25" i="11"/>
  <c r="E25" i="11"/>
  <c r="F24" i="11"/>
  <c r="E24" i="11"/>
  <c r="F23" i="11"/>
  <c r="E23" i="11"/>
  <c r="F22" i="11"/>
  <c r="E22" i="11"/>
  <c r="F21" i="11"/>
  <c r="E21" i="11"/>
  <c r="F20" i="11"/>
  <c r="E20" i="11"/>
  <c r="F19" i="11"/>
  <c r="F31" i="11" s="1"/>
  <c r="E19" i="11"/>
  <c r="D16" i="11"/>
  <c r="C16" i="11"/>
  <c r="F15" i="11"/>
  <c r="E15" i="11"/>
  <c r="F14" i="11"/>
  <c r="E14" i="11"/>
  <c r="F13" i="11"/>
  <c r="E13" i="11"/>
  <c r="F12" i="11"/>
  <c r="E12" i="11"/>
  <c r="D9" i="11"/>
  <c r="C9" i="11"/>
  <c r="I5" i="11" s="1"/>
  <c r="F8" i="11"/>
  <c r="E8" i="11"/>
  <c r="F7" i="11"/>
  <c r="E7" i="11"/>
  <c r="J6" i="11"/>
  <c r="I6" i="11"/>
  <c r="F6" i="11"/>
  <c r="E6" i="11"/>
  <c r="J5" i="11"/>
  <c r="F5" i="11"/>
  <c r="E5" i="11"/>
  <c r="D31" i="10"/>
  <c r="C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D16" i="10"/>
  <c r="C16" i="10"/>
  <c r="F15" i="10"/>
  <c r="E15" i="10"/>
  <c r="F14" i="10"/>
  <c r="E14" i="10"/>
  <c r="F13" i="10"/>
  <c r="E13" i="10"/>
  <c r="F12" i="10"/>
  <c r="E12" i="10"/>
  <c r="D9" i="10"/>
  <c r="J5" i="10" s="1"/>
  <c r="J7" i="10" s="1"/>
  <c r="C9" i="10"/>
  <c r="I5" i="10" s="1"/>
  <c r="F8" i="10"/>
  <c r="E8" i="10"/>
  <c r="F7" i="10"/>
  <c r="E7" i="10"/>
  <c r="J6" i="10"/>
  <c r="I6" i="10"/>
  <c r="F6" i="10"/>
  <c r="E6" i="10"/>
  <c r="F5" i="10"/>
  <c r="E5" i="10"/>
  <c r="D31" i="9"/>
  <c r="C31" i="9"/>
  <c r="F30" i="9"/>
  <c r="E30" i="9"/>
  <c r="F29" i="9"/>
  <c r="E29" i="9"/>
  <c r="F28" i="9"/>
  <c r="E28" i="9"/>
  <c r="F27" i="9"/>
  <c r="E27" i="9"/>
  <c r="F26" i="9"/>
  <c r="E26" i="9"/>
  <c r="F25" i="9"/>
  <c r="E25" i="9"/>
  <c r="F24" i="9"/>
  <c r="E24" i="9"/>
  <c r="F23" i="9"/>
  <c r="E23" i="9"/>
  <c r="F22" i="9"/>
  <c r="E22" i="9"/>
  <c r="F21" i="9"/>
  <c r="E21" i="9"/>
  <c r="F20" i="9"/>
  <c r="E20" i="9"/>
  <c r="F19" i="9"/>
  <c r="F31" i="9" s="1"/>
  <c r="E19" i="9"/>
  <c r="D16" i="9"/>
  <c r="C16" i="9"/>
  <c r="F15" i="9"/>
  <c r="E15" i="9"/>
  <c r="F14" i="9"/>
  <c r="E14" i="9"/>
  <c r="F13" i="9"/>
  <c r="E13" i="9"/>
  <c r="F12" i="9"/>
  <c r="E12" i="9"/>
  <c r="E16" i="9" s="1"/>
  <c r="D9" i="9"/>
  <c r="C9" i="9"/>
  <c r="I5" i="9" s="1"/>
  <c r="F8" i="9"/>
  <c r="E8" i="9"/>
  <c r="F7" i="9"/>
  <c r="E7" i="9"/>
  <c r="J6" i="9"/>
  <c r="I6" i="9"/>
  <c r="F6" i="9"/>
  <c r="E6" i="9"/>
  <c r="J5" i="9"/>
  <c r="F5" i="9"/>
  <c r="E5" i="9"/>
  <c r="D31" i="8"/>
  <c r="C31" i="8"/>
  <c r="F30" i="8"/>
  <c r="E30" i="8"/>
  <c r="F29" i="8"/>
  <c r="E29" i="8"/>
  <c r="F28" i="8"/>
  <c r="E28" i="8"/>
  <c r="F27" i="8"/>
  <c r="E27" i="8"/>
  <c r="F26" i="8"/>
  <c r="E26" i="8"/>
  <c r="F25" i="8"/>
  <c r="E25" i="8"/>
  <c r="F24" i="8"/>
  <c r="E24" i="8"/>
  <c r="F23" i="8"/>
  <c r="E23" i="8"/>
  <c r="F22" i="8"/>
  <c r="E22" i="8"/>
  <c r="F21" i="8"/>
  <c r="E21" i="8"/>
  <c r="F20" i="8"/>
  <c r="E20" i="8"/>
  <c r="F19" i="8"/>
  <c r="E19" i="8"/>
  <c r="E31" i="8" s="1"/>
  <c r="D16" i="8"/>
  <c r="C16" i="8"/>
  <c r="F15" i="8"/>
  <c r="E15" i="8"/>
  <c r="F14" i="8"/>
  <c r="E14" i="8"/>
  <c r="F13" i="8"/>
  <c r="E13" i="8"/>
  <c r="F12" i="8"/>
  <c r="F16" i="8" s="1"/>
  <c r="E12" i="8"/>
  <c r="D9" i="8"/>
  <c r="J5" i="8" s="1"/>
  <c r="C9" i="8"/>
  <c r="I5" i="8" s="1"/>
  <c r="F8" i="8"/>
  <c r="E8" i="8"/>
  <c r="F7" i="8"/>
  <c r="E7" i="8"/>
  <c r="J6" i="8"/>
  <c r="I6" i="8"/>
  <c r="F6" i="8"/>
  <c r="E6" i="8"/>
  <c r="F5" i="8"/>
  <c r="E5" i="8"/>
  <c r="D31" i="7"/>
  <c r="C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E31" i="7" s="1"/>
  <c r="D16" i="7"/>
  <c r="C16" i="7"/>
  <c r="F15" i="7"/>
  <c r="E15" i="7"/>
  <c r="F14" i="7"/>
  <c r="E14" i="7"/>
  <c r="F13" i="7"/>
  <c r="E13" i="7"/>
  <c r="F12" i="7"/>
  <c r="F16" i="7" s="1"/>
  <c r="E12" i="7"/>
  <c r="D9" i="7"/>
  <c r="J5" i="7" s="1"/>
  <c r="C9" i="7"/>
  <c r="I5" i="7" s="1"/>
  <c r="F8" i="7"/>
  <c r="E8" i="7"/>
  <c r="F7" i="7"/>
  <c r="E7" i="7"/>
  <c r="J6" i="7"/>
  <c r="F6" i="7"/>
  <c r="E6" i="7"/>
  <c r="F5" i="7"/>
  <c r="E5" i="7"/>
  <c r="D31" i="6"/>
  <c r="C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F31" i="6" s="1"/>
  <c r="E19" i="6"/>
  <c r="D16" i="6"/>
  <c r="C16" i="6"/>
  <c r="F15" i="6"/>
  <c r="E15" i="6"/>
  <c r="F14" i="6"/>
  <c r="E14" i="6"/>
  <c r="F13" i="6"/>
  <c r="E13" i="6"/>
  <c r="F12" i="6"/>
  <c r="F16" i="6" s="1"/>
  <c r="E12" i="6"/>
  <c r="E16" i="6" s="1"/>
  <c r="D9" i="6"/>
  <c r="J5" i="6" s="1"/>
  <c r="C9" i="6"/>
  <c r="I5" i="6" s="1"/>
  <c r="F8" i="6"/>
  <c r="E8" i="6"/>
  <c r="F7" i="6"/>
  <c r="E7" i="6"/>
  <c r="J6" i="6"/>
  <c r="I6" i="6"/>
  <c r="F6" i="6"/>
  <c r="E6" i="6"/>
  <c r="F5" i="6"/>
  <c r="E5" i="6"/>
  <c r="E31" i="10" l="1"/>
  <c r="F16" i="11"/>
  <c r="E15" i="18"/>
  <c r="F31" i="10"/>
  <c r="E31" i="11"/>
  <c r="E16" i="12"/>
  <c r="J7" i="15"/>
  <c r="C16" i="18"/>
  <c r="F25" i="24"/>
  <c r="J7" i="9"/>
  <c r="C8" i="20"/>
  <c r="D28" i="21"/>
  <c r="E28" i="21" s="1"/>
  <c r="D20" i="21"/>
  <c r="E20" i="21" s="1"/>
  <c r="E9" i="12"/>
  <c r="E31" i="12"/>
  <c r="F16" i="13"/>
  <c r="E16" i="14"/>
  <c r="E16" i="16"/>
  <c r="F19" i="18"/>
  <c r="C7" i="20"/>
  <c r="F23" i="24"/>
  <c r="J7" i="6"/>
  <c r="E16" i="7"/>
  <c r="E16" i="8"/>
  <c r="J7" i="11"/>
  <c r="F16" i="14"/>
  <c r="E16" i="15"/>
  <c r="F16" i="16"/>
  <c r="C9" i="18"/>
  <c r="I5" i="18" s="1"/>
  <c r="C8" i="21"/>
  <c r="F21" i="24"/>
  <c r="F16" i="9"/>
  <c r="E16" i="10"/>
  <c r="F31" i="14"/>
  <c r="E31" i="15"/>
  <c r="F31" i="16"/>
  <c r="F21" i="18"/>
  <c r="E31" i="6"/>
  <c r="F31" i="7"/>
  <c r="F31" i="8"/>
  <c r="E31" i="9"/>
  <c r="F16" i="10"/>
  <c r="E16" i="11"/>
  <c r="F31" i="15"/>
  <c r="E14" i="18"/>
  <c r="F22" i="18"/>
  <c r="D16" i="18"/>
  <c r="F27" i="24"/>
  <c r="F5" i="24"/>
  <c r="D5" i="20"/>
  <c r="F21" i="23"/>
  <c r="E24" i="23"/>
  <c r="F26" i="23"/>
  <c r="E28" i="23"/>
  <c r="F30" i="23"/>
  <c r="D31" i="21"/>
  <c r="D31" i="22"/>
  <c r="F7" i="22"/>
  <c r="I6" i="7"/>
  <c r="F9" i="9"/>
  <c r="F9" i="11"/>
  <c r="E9" i="11"/>
  <c r="F9" i="14"/>
  <c r="E9" i="14"/>
  <c r="F9" i="16"/>
  <c r="E5" i="18"/>
  <c r="E7" i="18"/>
  <c r="D9" i="18"/>
  <c r="J5" i="18" s="1"/>
  <c r="E13" i="18"/>
  <c r="F15" i="18"/>
  <c r="E20" i="18"/>
  <c r="E22" i="18"/>
  <c r="E31" i="18" s="1"/>
  <c r="E24" i="18"/>
  <c r="E26" i="18"/>
  <c r="E28" i="18"/>
  <c r="F30" i="18"/>
  <c r="F31" i="18" s="1"/>
  <c r="D8" i="25"/>
  <c r="D6" i="25"/>
  <c r="E6" i="25" s="1"/>
  <c r="C19" i="25"/>
  <c r="C29" i="25"/>
  <c r="C29" i="21" s="1"/>
  <c r="F29" i="21" s="1"/>
  <c r="C27" i="25"/>
  <c r="C25" i="25"/>
  <c r="C25" i="21" s="1"/>
  <c r="F25" i="21" s="1"/>
  <c r="C23" i="25"/>
  <c r="C21" i="25"/>
  <c r="C21" i="21" s="1"/>
  <c r="F21" i="21" s="1"/>
  <c r="F5" i="23"/>
  <c r="F7" i="23"/>
  <c r="E19" i="23"/>
  <c r="E21" i="23"/>
  <c r="E23" i="23"/>
  <c r="E25" i="23"/>
  <c r="E27" i="23"/>
  <c r="E29" i="23"/>
  <c r="C31" i="24"/>
  <c r="C15" i="20"/>
  <c r="C13" i="20"/>
  <c r="C30" i="20"/>
  <c r="C30" i="21" s="1"/>
  <c r="F30" i="21" s="1"/>
  <c r="C28" i="20"/>
  <c r="C28" i="21" s="1"/>
  <c r="F28" i="21" s="1"/>
  <c r="C26" i="20"/>
  <c r="C24" i="20"/>
  <c r="C22" i="20"/>
  <c r="C22" i="21" s="1"/>
  <c r="F22" i="21" s="1"/>
  <c r="C20" i="20"/>
  <c r="C16" i="24"/>
  <c r="D8" i="20"/>
  <c r="E8" i="20" s="1"/>
  <c r="D6" i="20"/>
  <c r="E6" i="20" s="1"/>
  <c r="C5" i="21"/>
  <c r="D5" i="21"/>
  <c r="F5" i="21" s="1"/>
  <c r="E5" i="25"/>
  <c r="D7" i="21"/>
  <c r="E7" i="21" s="1"/>
  <c r="E7" i="25"/>
  <c r="C12" i="21"/>
  <c r="C16" i="25"/>
  <c r="F14" i="25"/>
  <c r="E15" i="25"/>
  <c r="D15" i="21"/>
  <c r="E15" i="21" s="1"/>
  <c r="E13" i="25"/>
  <c r="D13" i="21"/>
  <c r="E13" i="21" s="1"/>
  <c r="F28" i="25"/>
  <c r="F26" i="25"/>
  <c r="C26" i="21"/>
  <c r="F26" i="21" s="1"/>
  <c r="C24" i="21"/>
  <c r="F24" i="21" s="1"/>
  <c r="F24" i="25"/>
  <c r="F22" i="25"/>
  <c r="C6" i="21"/>
  <c r="E8" i="25"/>
  <c r="F8" i="25"/>
  <c r="C15" i="21"/>
  <c r="F15" i="25"/>
  <c r="F13" i="25"/>
  <c r="C13" i="21"/>
  <c r="F13" i="21" s="1"/>
  <c r="D14" i="21"/>
  <c r="E14" i="21" s="1"/>
  <c r="E14" i="25"/>
  <c r="C19" i="21"/>
  <c r="F29" i="25"/>
  <c r="C27" i="21"/>
  <c r="F27" i="21" s="1"/>
  <c r="F27" i="25"/>
  <c r="F25" i="25"/>
  <c r="C23" i="21"/>
  <c r="F23" i="21" s="1"/>
  <c r="F23" i="25"/>
  <c r="E19" i="25"/>
  <c r="C31" i="22"/>
  <c r="I6" i="22" s="1"/>
  <c r="C16" i="23"/>
  <c r="F30" i="24"/>
  <c r="D12" i="25"/>
  <c r="D30" i="20"/>
  <c r="E30" i="20" s="1"/>
  <c r="D28" i="20"/>
  <c r="E28" i="20" s="1"/>
  <c r="D26" i="20"/>
  <c r="E26" i="20" s="1"/>
  <c r="D24" i="20"/>
  <c r="E24" i="20" s="1"/>
  <c r="D22" i="20"/>
  <c r="E22" i="20" s="1"/>
  <c r="D20" i="20"/>
  <c r="E20" i="20" s="1"/>
  <c r="C31" i="18"/>
  <c r="C7" i="25"/>
  <c r="C7" i="21" s="1"/>
  <c r="C20" i="25"/>
  <c r="D30" i="25"/>
  <c r="E30" i="25" s="1"/>
  <c r="E31" i="25" s="1"/>
  <c r="D19" i="20"/>
  <c r="E19" i="20" s="1"/>
  <c r="D29" i="20"/>
  <c r="E29" i="20" s="1"/>
  <c r="D27" i="20"/>
  <c r="E27" i="20" s="1"/>
  <c r="D25" i="20"/>
  <c r="E25" i="20" s="1"/>
  <c r="D23" i="20"/>
  <c r="E23" i="20" s="1"/>
  <c r="D21" i="20"/>
  <c r="E21" i="20" s="1"/>
  <c r="C14" i="20"/>
  <c r="C14" i="21" s="1"/>
  <c r="F14" i="21" s="1"/>
  <c r="E16" i="20"/>
  <c r="E31" i="24"/>
  <c r="E16" i="24"/>
  <c r="E16" i="23"/>
  <c r="F5" i="20"/>
  <c r="F5" i="25"/>
  <c r="F12" i="25"/>
  <c r="F19" i="25"/>
  <c r="F29" i="24"/>
  <c r="I6" i="24"/>
  <c r="E5" i="24"/>
  <c r="F6" i="24"/>
  <c r="E7" i="24"/>
  <c r="F8" i="24"/>
  <c r="D9" i="24"/>
  <c r="J5" i="24" s="1"/>
  <c r="F12" i="24"/>
  <c r="F16" i="24" s="1"/>
  <c r="D16" i="24"/>
  <c r="F19" i="24"/>
  <c r="D31" i="24"/>
  <c r="J6" i="24" s="1"/>
  <c r="F13" i="22"/>
  <c r="F14" i="22"/>
  <c r="F15" i="22"/>
  <c r="F20" i="22"/>
  <c r="F21" i="22"/>
  <c r="F22" i="22"/>
  <c r="F23" i="22"/>
  <c r="F24" i="22"/>
  <c r="F25" i="22"/>
  <c r="F27" i="22"/>
  <c r="F29" i="22"/>
  <c r="F30" i="22"/>
  <c r="F13" i="23"/>
  <c r="F14" i="23"/>
  <c r="F15" i="23"/>
  <c r="I6" i="23"/>
  <c r="E5" i="23"/>
  <c r="F6" i="23"/>
  <c r="E7" i="23"/>
  <c r="F8" i="23"/>
  <c r="D9" i="23"/>
  <c r="J5" i="23" s="1"/>
  <c r="F12" i="23"/>
  <c r="D16" i="23"/>
  <c r="F19" i="23"/>
  <c r="D31" i="23"/>
  <c r="J6" i="23" s="1"/>
  <c r="F5" i="22"/>
  <c r="F6" i="22"/>
  <c r="E8" i="22"/>
  <c r="F26" i="22"/>
  <c r="F28" i="22"/>
  <c r="C9" i="22"/>
  <c r="I5" i="22" s="1"/>
  <c r="E6" i="22"/>
  <c r="E12" i="22"/>
  <c r="E16" i="22" s="1"/>
  <c r="E19" i="22"/>
  <c r="E31" i="22" s="1"/>
  <c r="J6" i="22"/>
  <c r="E5" i="22"/>
  <c r="E7" i="22"/>
  <c r="D9" i="22"/>
  <c r="J5" i="22" s="1"/>
  <c r="F12" i="22"/>
  <c r="F19" i="22"/>
  <c r="C9" i="21"/>
  <c r="I5" i="21" s="1"/>
  <c r="E19" i="21"/>
  <c r="E31" i="21" s="1"/>
  <c r="F19" i="21"/>
  <c r="C9" i="20"/>
  <c r="I5" i="20" s="1"/>
  <c r="E5" i="20"/>
  <c r="F7" i="20"/>
  <c r="F6" i="20"/>
  <c r="F8" i="20"/>
  <c r="F12" i="20"/>
  <c r="F13" i="20"/>
  <c r="F15" i="20"/>
  <c r="D16" i="20"/>
  <c r="F19" i="20"/>
  <c r="F20" i="20"/>
  <c r="F24" i="20"/>
  <c r="F25" i="20"/>
  <c r="F28" i="20"/>
  <c r="F29" i="20"/>
  <c r="D31" i="18"/>
  <c r="J6" i="18" s="1"/>
  <c r="E16" i="18"/>
  <c r="F14" i="18"/>
  <c r="F9" i="18"/>
  <c r="E9" i="18"/>
  <c r="K6" i="7"/>
  <c r="J7" i="7"/>
  <c r="K6" i="9"/>
  <c r="F9" i="7"/>
  <c r="E9" i="7"/>
  <c r="K6" i="6"/>
  <c r="F9" i="6"/>
  <c r="E9" i="6"/>
  <c r="J7" i="8"/>
  <c r="E9" i="9"/>
  <c r="K6" i="11"/>
  <c r="K6" i="12"/>
  <c r="K6" i="10"/>
  <c r="F9" i="10"/>
  <c r="K6" i="13"/>
  <c r="F9" i="13"/>
  <c r="E9" i="13"/>
  <c r="K6" i="14"/>
  <c r="K6" i="15"/>
  <c r="J6" i="16"/>
  <c r="J7" i="16" s="1"/>
  <c r="F9" i="15"/>
  <c r="E9" i="15"/>
  <c r="E9" i="16"/>
  <c r="I7" i="16"/>
  <c r="K5" i="16"/>
  <c r="I7" i="15"/>
  <c r="K7" i="15" s="1"/>
  <c r="K5" i="15"/>
  <c r="I7" i="14"/>
  <c r="K7" i="14" s="1"/>
  <c r="K5" i="14"/>
  <c r="I7" i="13"/>
  <c r="K7" i="13"/>
  <c r="K5" i="13"/>
  <c r="K7" i="12"/>
  <c r="K5" i="12"/>
  <c r="I7" i="11"/>
  <c r="K7" i="11" s="1"/>
  <c r="K5" i="11"/>
  <c r="E9" i="10"/>
  <c r="I7" i="10"/>
  <c r="K7" i="10" s="1"/>
  <c r="K5" i="10"/>
  <c r="I7" i="9"/>
  <c r="K7" i="9" s="1"/>
  <c r="K5" i="9"/>
  <c r="F9" i="8"/>
  <c r="E9" i="8"/>
  <c r="K6" i="8"/>
  <c r="I7" i="8"/>
  <c r="K5" i="8"/>
  <c r="I7" i="7"/>
  <c r="K5" i="7"/>
  <c r="I7" i="6"/>
  <c r="K7" i="6" s="1"/>
  <c r="K5" i="6"/>
  <c r="D31" i="5"/>
  <c r="C31" i="5"/>
  <c r="D16" i="5"/>
  <c r="C16" i="5"/>
  <c r="D9" i="5"/>
  <c r="C9" i="5"/>
  <c r="I5" i="5" s="1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5" i="5"/>
  <c r="E15" i="5"/>
  <c r="F14" i="5"/>
  <c r="E14" i="5"/>
  <c r="F13" i="5"/>
  <c r="E13" i="5"/>
  <c r="F12" i="5"/>
  <c r="E12" i="5"/>
  <c r="E16" i="5" s="1"/>
  <c r="F8" i="5"/>
  <c r="E8" i="5"/>
  <c r="F7" i="5"/>
  <c r="E7" i="5"/>
  <c r="F6" i="5"/>
  <c r="E6" i="5"/>
  <c r="J5" i="5"/>
  <c r="F5" i="5"/>
  <c r="E5" i="5"/>
  <c r="F21" i="25" l="1"/>
  <c r="C31" i="20"/>
  <c r="F16" i="5"/>
  <c r="J7" i="18"/>
  <c r="F27" i="20"/>
  <c r="I6" i="18"/>
  <c r="K6" i="16"/>
  <c r="F21" i="20"/>
  <c r="F31" i="23"/>
  <c r="D31" i="20"/>
  <c r="J6" i="20" s="1"/>
  <c r="F23" i="20"/>
  <c r="F31" i="24"/>
  <c r="F26" i="20"/>
  <c r="F30" i="20"/>
  <c r="F22" i="20"/>
  <c r="F15" i="21"/>
  <c r="D8" i="21"/>
  <c r="F8" i="21" s="1"/>
  <c r="D9" i="20"/>
  <c r="J5" i="20" s="1"/>
  <c r="K5" i="20" s="1"/>
  <c r="E9" i="20"/>
  <c r="D9" i="25"/>
  <c r="J5" i="25" s="1"/>
  <c r="E9" i="25"/>
  <c r="F9" i="22"/>
  <c r="F31" i="5"/>
  <c r="K7" i="16"/>
  <c r="K5" i="18"/>
  <c r="F16" i="18"/>
  <c r="F14" i="20"/>
  <c r="E5" i="21"/>
  <c r="E8" i="21"/>
  <c r="F16" i="25"/>
  <c r="D6" i="21"/>
  <c r="F6" i="25"/>
  <c r="E31" i="23"/>
  <c r="C20" i="21"/>
  <c r="F20" i="21" s="1"/>
  <c r="F31" i="21" s="1"/>
  <c r="F20" i="25"/>
  <c r="E31" i="20"/>
  <c r="C16" i="20"/>
  <c r="I6" i="20" s="1"/>
  <c r="F30" i="25"/>
  <c r="F31" i="25" s="1"/>
  <c r="C16" i="21"/>
  <c r="D12" i="21"/>
  <c r="D16" i="25"/>
  <c r="E12" i="25"/>
  <c r="E16" i="25" s="1"/>
  <c r="D31" i="25"/>
  <c r="C31" i="25"/>
  <c r="I6" i="25" s="1"/>
  <c r="F7" i="25"/>
  <c r="F9" i="25" s="1"/>
  <c r="F7" i="21"/>
  <c r="C9" i="25"/>
  <c r="I5" i="25" s="1"/>
  <c r="K5" i="25" s="1"/>
  <c r="F31" i="22"/>
  <c r="I7" i="25"/>
  <c r="I7" i="22"/>
  <c r="F9" i="24"/>
  <c r="F16" i="22"/>
  <c r="F16" i="23"/>
  <c r="K6" i="24"/>
  <c r="J7" i="24"/>
  <c r="K5" i="24"/>
  <c r="E9" i="24"/>
  <c r="I7" i="24"/>
  <c r="F9" i="23"/>
  <c r="K6" i="23"/>
  <c r="J7" i="23"/>
  <c r="K5" i="23"/>
  <c r="E9" i="23"/>
  <c r="I7" i="23"/>
  <c r="J7" i="22"/>
  <c r="K5" i="22"/>
  <c r="E9" i="22"/>
  <c r="K6" i="22"/>
  <c r="F9" i="20"/>
  <c r="F16" i="20"/>
  <c r="K6" i="20"/>
  <c r="I7" i="20"/>
  <c r="J7" i="20"/>
  <c r="K7" i="7"/>
  <c r="K7" i="8"/>
  <c r="K5" i="5"/>
  <c r="I6" i="5"/>
  <c r="J6" i="5"/>
  <c r="E31" i="5"/>
  <c r="E9" i="5"/>
  <c r="F9" i="5"/>
  <c r="J7" i="5"/>
  <c r="K6" i="18" l="1"/>
  <c r="I7" i="18"/>
  <c r="K7" i="18" s="1"/>
  <c r="C31" i="21"/>
  <c r="I6" i="21" s="1"/>
  <c r="I7" i="21" s="1"/>
  <c r="J6" i="25"/>
  <c r="J7" i="25" s="1"/>
  <c r="K7" i="25" s="1"/>
  <c r="F31" i="20"/>
  <c r="F6" i="21"/>
  <c r="F9" i="21" s="1"/>
  <c r="E6" i="21"/>
  <c r="E9" i="21" s="1"/>
  <c r="D9" i="21"/>
  <c r="J5" i="21" s="1"/>
  <c r="K5" i="21" s="1"/>
  <c r="D16" i="21"/>
  <c r="J6" i="21" s="1"/>
  <c r="E12" i="21"/>
  <c r="E16" i="21" s="1"/>
  <c r="F12" i="21"/>
  <c r="F16" i="21" s="1"/>
  <c r="K7" i="22"/>
  <c r="K7" i="24"/>
  <c r="K7" i="23"/>
  <c r="K7" i="20"/>
  <c r="K6" i="5"/>
  <c r="K6" i="25" l="1"/>
  <c r="J7" i="21"/>
  <c r="K7" i="21" s="1"/>
  <c r="K6" i="21"/>
  <c r="I7" i="5"/>
  <c r="K7" i="5" s="1"/>
</calcChain>
</file>

<file path=xl/sharedStrings.xml><?xml version="1.0" encoding="utf-8"?>
<sst xmlns="http://schemas.openxmlformats.org/spreadsheetml/2006/main" count="964" uniqueCount="73">
  <si>
    <t>ORÇAMENTO MENSAL</t>
  </si>
  <si>
    <t>TOTAL ORÇAMENTAL</t>
  </si>
  <si>
    <t>ESTIMADO</t>
  </si>
  <si>
    <t>REAL</t>
  </si>
  <si>
    <t>DIFERENÇA</t>
  </si>
  <si>
    <t>5 Maiores Quantias</t>
  </si>
  <si>
    <t>Rendimento</t>
  </si>
  <si>
    <t>Despesas</t>
  </si>
  <si>
    <t>Balanço (Rendimento menos Despesas)</t>
  </si>
  <si>
    <t>DESPESAS COM PESSOAL</t>
  </si>
  <si>
    <t>Total de Pessoal</t>
  </si>
  <si>
    <t>DESPESAS COM FUNCIONAMENTO</t>
  </si>
  <si>
    <t>Publicidade</t>
  </si>
  <si>
    <t>Seguros</t>
  </si>
  <si>
    <t>Impostos</t>
  </si>
  <si>
    <t>Outro</t>
  </si>
  <si>
    <t>Total de Funcionamento</t>
  </si>
  <si>
    <t xml:space="preserve"> </t>
  </si>
  <si>
    <t>Curso Excel 2010 Básico S/ Prof.</t>
  </si>
  <si>
    <t>Curso Excel 2010 Básico C/ Prof.</t>
  </si>
  <si>
    <t>Curso Excel 2007 Avançado S/ Prof.</t>
  </si>
  <si>
    <t>Curso Excel 2007 Avançado C/ Prof.</t>
  </si>
  <si>
    <t>Domínio Site</t>
  </si>
  <si>
    <t>Manutenção Site</t>
  </si>
  <si>
    <t>Software</t>
  </si>
  <si>
    <t>Hardware</t>
  </si>
  <si>
    <t>Professor Excel 2010 Básico</t>
  </si>
  <si>
    <t>Professor Excel 2007 Avançado</t>
  </si>
  <si>
    <t>Consultadoria</t>
  </si>
  <si>
    <t>Assistência Técnica</t>
  </si>
  <si>
    <t>Freelancer - Artigos e Tutoriais</t>
  </si>
  <si>
    <t>Freelancer - Modelos Planilhas</t>
  </si>
  <si>
    <t>Luz, Energia Elétrica e Comunicações</t>
  </si>
  <si>
    <t>Material de Expediente</t>
  </si>
  <si>
    <t>EMPRESA: XXPTOO</t>
  </si>
  <si>
    <t>Total Rendimentos</t>
  </si>
  <si>
    <t>RENDIMENTOS</t>
  </si>
  <si>
    <t>1.º TRIMESTRE</t>
  </si>
  <si>
    <t>2.º TRIMESTRE</t>
  </si>
  <si>
    <t>3.º TRIMESTRE</t>
  </si>
  <si>
    <t>4.º TRIMESTRE</t>
  </si>
  <si>
    <t>1.º SEMESTRE</t>
  </si>
  <si>
    <t>2.º SEMESTRE</t>
  </si>
  <si>
    <t>ORÇAMENTO SEMESTRAL</t>
  </si>
  <si>
    <t>ANO 2014</t>
  </si>
  <si>
    <t>Seleccione e clique na opção desejada</t>
  </si>
  <si>
    <t>E</t>
  </si>
  <si>
    <t>ORÇAMENTO ANUAL EMPRESARIAL</t>
  </si>
  <si>
    <t>ORC_MENS_01</t>
  </si>
  <si>
    <t>ORC_MENS_02</t>
  </si>
  <si>
    <t>ORC_MENS_03</t>
  </si>
  <si>
    <t>ORC_MENS_04</t>
  </si>
  <si>
    <t>ORC_MENS_05</t>
  </si>
  <si>
    <t>ORC_MENS_06</t>
  </si>
  <si>
    <t>ORC_MENS_07</t>
  </si>
  <si>
    <t>ORC_MENS_08</t>
  </si>
  <si>
    <t>ORC_MENS_09</t>
  </si>
  <si>
    <t>ORC_MENS_10</t>
  </si>
  <si>
    <t>ORC_MENS_11</t>
  </si>
  <si>
    <t>ORC_MENS_12</t>
  </si>
  <si>
    <t>EMPRESA XXPTOO</t>
  </si>
  <si>
    <t>ORÇAMENTO ANUAL</t>
  </si>
  <si>
    <t>RESUMO_ORC_1_TRI</t>
  </si>
  <si>
    <t>RESUMO_ORC_2_TRI</t>
  </si>
  <si>
    <t>RESUMO_ORC_3_TRI</t>
  </si>
  <si>
    <t>RESUMO_ORC_4_TRI</t>
  </si>
  <si>
    <t>TRIMESTRAIS</t>
  </si>
  <si>
    <t>SEMESTRAIS E</t>
  </si>
  <si>
    <t>RES_ORC_1_SEM</t>
  </si>
  <si>
    <t>RES_ORC_2_SEM</t>
  </si>
  <si>
    <t>RES_ORC_ANUAL</t>
  </si>
  <si>
    <t>ORÇAMENTO TRIMESTRAL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</si>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</sst>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yyyy"/>
    <numFmt numFmtId="165" formatCode="_(* #,##0.00_);_(* \(#,##0.00\);_(* &quot;-&quot;??_);_(@_)"/>
    <numFmt numFmtId="166" formatCode="#,##0.00_ ;[Red]\-#,##0.00\ "/>
  </numFmts>
  <fonts count="23" x14ac:knownFonts="1">
    <font>
      <sz val="11"/>
      <color theme="1"/>
      <name val="Calibri"/>
      <family val="2"/>
      <scheme val="minor"/>
    </font>
    <font>
      <sz val="16"/>
      <color theme="0"/>
      <name val="Cambria"/>
      <family val="2"/>
      <scheme val="major"/>
    </font>
    <font>
      <sz val="10"/>
      <color theme="0"/>
      <name val="Calibri"/>
      <family val="2"/>
      <scheme val="minor"/>
    </font>
    <font>
      <sz val="36"/>
      <color theme="3"/>
      <name val="Cambria"/>
      <family val="2"/>
      <scheme val="major"/>
    </font>
    <font>
      <sz val="36"/>
      <color theme="0"/>
      <name val="Cambria"/>
      <family val="2"/>
      <scheme val="major"/>
    </font>
    <font>
      <sz val="10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6"/>
      <color theme="3"/>
      <name val="Cambria"/>
      <family val="1"/>
      <scheme val="major"/>
    </font>
    <font>
      <sz val="22"/>
      <color theme="3"/>
      <name val="Cambria"/>
      <family val="2"/>
      <scheme val="major"/>
    </font>
    <font>
      <sz val="24"/>
      <color theme="3"/>
      <name val="Cambria"/>
      <family val="2"/>
      <scheme val="major"/>
    </font>
    <font>
      <b/>
      <sz val="11"/>
      <color theme="0" tint="-4.9989318521683403E-2"/>
      <name val="Calibri"/>
      <family val="2"/>
      <scheme val="minor"/>
    </font>
    <font>
      <b/>
      <sz val="14"/>
      <color theme="5" tint="-0.249977111117893"/>
      <name val="Cambria"/>
      <family val="1"/>
      <scheme val="major"/>
    </font>
    <font>
      <sz val="10"/>
      <color theme="1" tint="0.34998626667073579"/>
      <name val="Calibri"/>
      <family val="2"/>
      <scheme val="minor"/>
    </font>
    <font>
      <b/>
      <sz val="26"/>
      <color indexed="58"/>
      <name val="Calibri"/>
      <family val="2"/>
      <scheme val="minor"/>
    </font>
    <font>
      <b/>
      <sz val="14"/>
      <color indexed="19"/>
      <name val="Arial Black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22"/>
      <color indexed="12"/>
      <name val="Wingdings 2"/>
      <family val="1"/>
      <charset val="2"/>
    </font>
    <font>
      <u/>
      <sz val="10"/>
      <color theme="10"/>
      <name val="Arial"/>
      <family val="2"/>
    </font>
    <font>
      <b/>
      <sz val="28"/>
      <color rgb="FF0070C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6"/>
      <color rgb="FF008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5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 applyFont="1" applyFill="1" applyBorder="1" applyAlignment="1">
      <alignment horizontal="left" indent="1"/>
    </xf>
    <xf numFmtId="166" fontId="0" fillId="0" borderId="0" xfId="1" applyNumberFormat="1" applyFont="1" applyFill="1" applyBorder="1"/>
    <xf numFmtId="0" fontId="0" fillId="3" borderId="0" xfId="0" applyFill="1"/>
    <xf numFmtId="0" fontId="0" fillId="0" borderId="0" xfId="0" applyFill="1" applyBorder="1" applyAlignment="1">
      <alignment horizontal="left" indent="1"/>
    </xf>
    <xf numFmtId="166" fontId="0" fillId="0" borderId="0" xfId="0" applyNumberFormat="1" applyFont="1" applyFill="1" applyBorder="1"/>
    <xf numFmtId="166" fontId="6" fillId="0" borderId="0" xfId="1" applyNumberFormat="1" applyFont="1" applyFill="1" applyBorder="1"/>
    <xf numFmtId="0" fontId="5" fillId="4" borderId="0" xfId="0" applyFont="1" applyFill="1" applyBorder="1" applyAlignment="1">
      <alignment horizontal="left" indent="1"/>
    </xf>
    <xf numFmtId="0" fontId="7" fillId="6" borderId="0" xfId="0" applyFont="1" applyFill="1" applyBorder="1" applyAlignment="1">
      <alignment horizontal="left"/>
    </xf>
    <xf numFmtId="166" fontId="7" fillId="6" borderId="0" xfId="0" applyNumberFormat="1" applyFont="1" applyFill="1"/>
    <xf numFmtId="166" fontId="7" fillId="6" borderId="0" xfId="0" applyNumberFormat="1" applyFont="1" applyFill="1" applyBorder="1"/>
    <xf numFmtId="0" fontId="7" fillId="6" borderId="0" xfId="0" applyFont="1" applyFill="1" applyBorder="1" applyAlignment="1">
      <alignment horizontal="left" indent="1"/>
    </xf>
    <xf numFmtId="166" fontId="7" fillId="6" borderId="0" xfId="1" applyNumberFormat="1" applyFont="1" applyFill="1" applyBorder="1"/>
    <xf numFmtId="0" fontId="0" fillId="0" borderId="0" xfId="0" applyFill="1" applyAlignment="1">
      <alignment vertical="center"/>
    </xf>
    <xf numFmtId="0" fontId="1" fillId="2" borderId="0" xfId="0" applyFont="1" applyFill="1" applyAlignment="1"/>
    <xf numFmtId="0" fontId="10" fillId="2" borderId="0" xfId="0" applyFont="1" applyFill="1" applyAlignment="1">
      <alignment horizontal="right" inden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horizontal="left" indent="1"/>
    </xf>
    <xf numFmtId="0" fontId="9" fillId="2" borderId="0" xfId="2" applyFont="1" applyFill="1" applyAlignment="1">
      <alignment horizontal="left" indent="1"/>
    </xf>
    <xf numFmtId="0" fontId="11" fillId="5" borderId="0" xfId="0" applyFont="1" applyFill="1" applyBorder="1" applyAlignment="1">
      <alignment horizontal="left" vertical="center" indent="1"/>
    </xf>
    <xf numFmtId="0" fontId="11" fillId="5" borderId="0" xfId="0" applyFont="1" applyFill="1" applyBorder="1" applyAlignment="1">
      <alignment vertical="center"/>
    </xf>
    <xf numFmtId="0" fontId="13" fillId="0" borderId="0" xfId="3">
      <alignment vertical="center"/>
    </xf>
    <xf numFmtId="0" fontId="18" fillId="7" borderId="0" xfId="3" applyFont="1" applyFill="1" applyBorder="1" applyAlignment="1">
      <alignment horizontal="center" vertical="center"/>
    </xf>
    <xf numFmtId="0" fontId="13" fillId="7" borderId="0" xfId="3" applyFill="1" applyAlignment="1"/>
    <xf numFmtId="0" fontId="19" fillId="7" borderId="0" xfId="4" applyFill="1" applyAlignment="1" applyProtection="1">
      <alignment vertical="center"/>
    </xf>
    <xf numFmtId="0" fontId="13" fillId="6" borderId="0" xfId="3" applyFill="1" applyAlignment="1"/>
    <xf numFmtId="0" fontId="15" fillId="6" borderId="0" xfId="3" applyFont="1" applyFill="1" applyAlignment="1">
      <alignment horizontal="center" vertical="center" wrapText="1"/>
    </xf>
    <xf numFmtId="0" fontId="16" fillId="6" borderId="0" xfId="3" applyFont="1" applyFill="1" applyBorder="1" applyAlignment="1">
      <alignment horizontal="left"/>
    </xf>
    <xf numFmtId="0" fontId="17" fillId="6" borderId="0" xfId="3" applyFont="1" applyFill="1" applyBorder="1" applyAlignment="1">
      <alignment horizontal="left"/>
    </xf>
    <xf numFmtId="0" fontId="15" fillId="6" borderId="0" xfId="3" applyFont="1" applyFill="1" applyAlignment="1">
      <alignment horizontal="left" vertical="center" wrapText="1"/>
    </xf>
    <xf numFmtId="0" fontId="21" fillId="7" borderId="0" xfId="3" applyFont="1" applyFill="1" applyAlignment="1">
      <alignment vertical="center"/>
    </xf>
    <xf numFmtId="0" fontId="22" fillId="7" borderId="0" xfId="3" applyFont="1" applyFill="1" applyAlignment="1">
      <alignment horizontal="left" vertical="center"/>
    </xf>
    <xf numFmtId="0" fontId="22" fillId="7" borderId="0" xfId="3" applyFont="1" applyFill="1" applyAlignment="1">
      <alignment horizontal="center" vertical="center"/>
    </xf>
    <xf numFmtId="0" fontId="14" fillId="6" borderId="0" xfId="3" applyFont="1" applyFill="1" applyAlignment="1">
      <alignment horizontal="center" vertical="center" wrapText="1"/>
    </xf>
    <xf numFmtId="0" fontId="20" fillId="6" borderId="0" xfId="3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left"/>
    </xf>
    <xf numFmtId="164" fontId="12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left"/>
    </xf>
  </cellXfs>
  <cellStyles count="5">
    <cellStyle name="Hiperlink" xfId="4" builtinId="8"/>
    <cellStyle name="Normal" xfId="0" builtinId="0"/>
    <cellStyle name="Normal 2" xfId="3"/>
    <cellStyle name="Título" xfId="2" builtinId="15"/>
    <cellStyle name="Vírgula" xfId="1" builtinId="3"/>
  </cellStyles>
  <dxfs count="80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indexed="64"/>
          <bgColor theme="3" tint="0.59999389629810485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indexed="64"/>
          <bgColor theme="3" tint="0.59999389629810485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indexed="64"/>
          <bgColor theme="3" tint="0.59999389629810485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  <border diagonalUp="0" diagonalDown="0" outline="0">
        <left/>
        <right/>
        <top/>
        <bottom/>
      </border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strike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#,##0.00_ ;[Red]\-#,##0.00\ "/>
      <fill>
        <patternFill patternType="solid">
          <fgColor indexed="64"/>
          <bgColor theme="3" tint="0.59999389629810485"/>
        </patternFill>
      </fill>
    </dxf>
    <dxf>
      <numFmt numFmtId="166" formatCode="#,##0.00_ ;[Red]\-#,##0.00\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ont>
        <b/>
      </font>
      <fill>
        <patternFill patternType="solid">
          <fgColor rgb="FF000000"/>
          <bgColor rgb="FF8DB4E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scheme val="minor"/>
      </font>
      <fill>
        <patternFill patternType="solid">
          <fgColor indexed="64"/>
          <bgColor rgb="FF0070C0"/>
        </patternFill>
      </fill>
      <alignment horizontal="left" vertical="center" textRotation="0" wrapText="0" relativeIndent="0" justifyLastLine="0" shrinkToFit="0" readingOrder="0"/>
    </dxf>
    <dxf>
      <fill>
        <patternFill patternType="solid">
          <fgColor theme="4" tint="0.59999389629810485"/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b val="0"/>
        <i val="0"/>
        <color theme="1"/>
      </font>
      <fill>
        <patternFill patternType="solid">
          <fgColor theme="4"/>
          <bgColor theme="8" tint="0.59996337778862885"/>
        </patternFill>
      </fill>
      <border>
        <top style="thin">
          <color theme="0"/>
        </top>
      </border>
    </dxf>
    <dxf>
      <font>
        <color theme="3"/>
      </font>
      <fill>
        <patternFill patternType="solid">
          <fgColor theme="4"/>
          <bgColor theme="7" tint="0.39994506668294322"/>
        </patternFill>
      </fill>
      <border>
        <bottom style="thin">
          <color theme="0"/>
        </bottom>
      </border>
    </dxf>
    <dxf>
      <font>
        <b val="0"/>
        <i val="0"/>
        <color theme="1"/>
      </font>
      <fill>
        <patternFill patternType="solid">
          <fgColor theme="4" tint="0.79979857783745845"/>
          <bgColor theme="8" tint="0.7999816888943144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Monthly Budget" pivot="0" count="5">
      <tableStyleElement type="wholeTable" dxfId="802"/>
      <tableStyleElement type="headerRow" dxfId="801"/>
      <tableStyleElement type="totalRow" dxfId="800"/>
      <tableStyleElement type="lastColumn" dxfId="799"/>
      <tableStyleElement type="firstRowStripe" dxfId="798"/>
    </tableStyle>
  </tableStyles>
  <colors>
    <mruColors>
      <color rgb="FF008000"/>
      <color rgb="FFFFFFCC"/>
      <color rgb="FFFFFF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- 1.º TRIMESTRE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RESUMO_ORC_1_TRI_2014!$H$5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RESUMO_ORC_1_TRI_2014!$I$4:$J$4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RESUMO_ORC_1_TRI_2014!$I$5:$J$5</c:f>
              <c:numCache>
                <c:formatCode>#,##0.00_ ;[Red]\-#,##0.00\ </c:formatCode>
                <c:ptCount val="2"/>
                <c:pt idx="0">
                  <c:v>472611</c:v>
                </c:pt>
                <c:pt idx="1">
                  <c:v>471216.5</c:v>
                </c:pt>
              </c:numCache>
            </c:numRef>
          </c:val>
        </c:ser>
        <c:ser>
          <c:idx val="1"/>
          <c:order val="1"/>
          <c:tx>
            <c:strRef>
              <c:f>RESUMO_ORC_1_TRI_2014!$H$6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RESUMO_ORC_1_TRI_2014!$I$4:$J$4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RESUMO_ORC_1_TRI_2014!$I$6:$J$6</c:f>
              <c:numCache>
                <c:formatCode>#,##0.00_ ;[Red]\-#,##0.00\ </c:formatCode>
                <c:ptCount val="2"/>
                <c:pt idx="0">
                  <c:v>137580</c:v>
                </c:pt>
                <c:pt idx="1">
                  <c:v>109980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- 1.º SEMESTRE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RESUMO_ORC_3_TRI_2014!$H$5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799E-3"/>
                  <c:y val="2.115111551225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RESUMO_ORC_3_TRI_2014!$I$4:$K$4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RESUMO_ORC_3_TRI_2014!$I$5:$K$5</c:f>
              <c:numCache>
                <c:formatCode>#,##0.00_ ;[Red]\-#,##0.00\ </c:formatCode>
                <c:ptCount val="3"/>
                <c:pt idx="0">
                  <c:v>472611</c:v>
                </c:pt>
                <c:pt idx="1">
                  <c:v>0</c:v>
                </c:pt>
                <c:pt idx="2">
                  <c:v>-472611</c:v>
                </c:pt>
              </c:numCache>
            </c:numRef>
          </c:val>
        </c:ser>
        <c:ser>
          <c:idx val="1"/>
          <c:order val="1"/>
          <c:tx>
            <c:strRef>
              <c:f>RESUMO_ORC_3_TRI_2014!$H$6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RESUMO_ORC_3_TRI_2014!$I$4:$K$4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RESUMO_ORC_3_TRI_2014!$I$6:$K$6</c:f>
              <c:numCache>
                <c:formatCode>#,##0.00_ ;[Red]\-#,##0.00\ </c:formatCode>
                <c:ptCount val="3"/>
                <c:pt idx="0">
                  <c:v>137580</c:v>
                </c:pt>
                <c:pt idx="1">
                  <c:v>0</c:v>
                </c:pt>
                <c:pt idx="2">
                  <c:v>137580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569280"/>
        <c:axId val="101570816"/>
      </c:barChart>
      <c:catAx>
        <c:axId val="10156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570816"/>
        <c:crosses val="autoZero"/>
        <c:auto val="1"/>
        <c:lblAlgn val="ctr"/>
        <c:lblOffset val="100"/>
        <c:noMultiLvlLbl val="0"/>
      </c:catAx>
      <c:valAx>
        <c:axId val="101570816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1569280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- 2.º SEMESTRE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RES_ORC_2_SEM_2014!$H$5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RES_ORC_2_SEM_2014!$I$4:$J$4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RES_ORC_2_SEM_2014!$I$5:$J$5</c:f>
              <c:numCache>
                <c:formatCode>#,##0.00_ ;[Red]\-#,##0.00\ </c:formatCode>
                <c:ptCount val="2"/>
                <c:pt idx="0">
                  <c:v>945222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RES_ORC_2_SEM_2014!$H$6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RES_ORC_2_SEM_2014!$I$4:$J$4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RES_ORC_2_SEM_2014!$I$6:$J$6</c:f>
              <c:numCache>
                <c:formatCode>#,##0.00_ ;[Red]\-#,##0.00\ </c:formatCode>
                <c:ptCount val="2"/>
                <c:pt idx="0">
                  <c:v>275160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- 2.º SEMESTRE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RES_ORC_2_SEM_2014!$H$5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816E-3"/>
                  <c:y val="2.1151115512250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RES_ORC_2_SEM_2014!$I$4:$K$4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RES_ORC_2_SEM_2014!$I$5:$K$5</c:f>
              <c:numCache>
                <c:formatCode>#,##0.00_ ;[Red]\-#,##0.00\ </c:formatCode>
                <c:ptCount val="3"/>
                <c:pt idx="0">
                  <c:v>945222</c:v>
                </c:pt>
                <c:pt idx="1">
                  <c:v>0</c:v>
                </c:pt>
                <c:pt idx="2">
                  <c:v>-945222</c:v>
                </c:pt>
              </c:numCache>
            </c:numRef>
          </c:val>
        </c:ser>
        <c:ser>
          <c:idx val="1"/>
          <c:order val="1"/>
          <c:tx>
            <c:strRef>
              <c:f>RES_ORC_2_SEM_2014!$H$6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RES_ORC_2_SEM_2014!$I$4:$K$4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RES_ORC_2_SEM_2014!$I$6:$K$6</c:f>
              <c:numCache>
                <c:formatCode>#,##0.00_ ;[Red]\-#,##0.00\ </c:formatCode>
                <c:ptCount val="3"/>
                <c:pt idx="0">
                  <c:v>275160</c:v>
                </c:pt>
                <c:pt idx="1">
                  <c:v>0</c:v>
                </c:pt>
                <c:pt idx="2">
                  <c:v>275160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075392"/>
        <c:axId val="102101760"/>
      </c:barChart>
      <c:catAx>
        <c:axId val="10207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101760"/>
        <c:crosses val="autoZero"/>
        <c:auto val="1"/>
        <c:lblAlgn val="ctr"/>
        <c:lblOffset val="100"/>
        <c:noMultiLvlLbl val="0"/>
      </c:catAx>
      <c:valAx>
        <c:axId val="102101760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2075392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ANUAL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RESUMO_ORC_ANUAL_2014!$H$5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RESUMO_ORC_ANUAL_2014!$I$4:$J$4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RESUMO_ORC_ANUAL_2014!$I$5:$J$5</c:f>
              <c:numCache>
                <c:formatCode>#,##0.00_ ;[Red]\-#,##0.00\ </c:formatCode>
                <c:ptCount val="2"/>
                <c:pt idx="0">
                  <c:v>1890444</c:v>
                </c:pt>
                <c:pt idx="1">
                  <c:v>471216.5</c:v>
                </c:pt>
              </c:numCache>
            </c:numRef>
          </c:val>
        </c:ser>
        <c:ser>
          <c:idx val="1"/>
          <c:order val="1"/>
          <c:tx>
            <c:strRef>
              <c:f>RESUMO_ORC_ANUAL_2014!$H$6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RESUMO_ORC_ANUAL_2014!$I$4:$J$4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RESUMO_ORC_ANUAL_2014!$I$6:$J$6</c:f>
              <c:numCache>
                <c:formatCode>#,##0.00_ ;[Red]\-#,##0.00\ </c:formatCode>
                <c:ptCount val="2"/>
                <c:pt idx="0">
                  <c:v>550320</c:v>
                </c:pt>
                <c:pt idx="1">
                  <c:v>57400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ANUAL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RESUMO_ORC_ANUAL_2014!$H$5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799E-3"/>
                  <c:y val="2.115111551225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RESUMO_ORC_ANUAL_2014!$I$4:$K$4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RESUMO_ORC_ANUAL_2014!$I$5:$K$5</c:f>
              <c:numCache>
                <c:formatCode>#,##0.00_ ;[Red]\-#,##0.00\ </c:formatCode>
                <c:ptCount val="3"/>
                <c:pt idx="0">
                  <c:v>1890444</c:v>
                </c:pt>
                <c:pt idx="1">
                  <c:v>471216.5</c:v>
                </c:pt>
                <c:pt idx="2">
                  <c:v>-1419227.5</c:v>
                </c:pt>
              </c:numCache>
            </c:numRef>
          </c:val>
        </c:ser>
        <c:ser>
          <c:idx val="1"/>
          <c:order val="1"/>
          <c:tx>
            <c:strRef>
              <c:f>RESUMO_ORC_ANUAL_2014!$H$6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RESUMO_ORC_ANUAL_2014!$I$4:$K$4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RESUMO_ORC_ANUAL_2014!$I$6:$K$6</c:f>
              <c:numCache>
                <c:formatCode>#,##0.00_ ;[Red]\-#,##0.00\ </c:formatCode>
                <c:ptCount val="3"/>
                <c:pt idx="0">
                  <c:v>550320</c:v>
                </c:pt>
                <c:pt idx="1">
                  <c:v>57400</c:v>
                </c:pt>
                <c:pt idx="2">
                  <c:v>492920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118912"/>
        <c:axId val="102120448"/>
      </c:barChart>
      <c:catAx>
        <c:axId val="10211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120448"/>
        <c:crosses val="autoZero"/>
        <c:auto val="1"/>
        <c:lblAlgn val="ctr"/>
        <c:lblOffset val="100"/>
        <c:noMultiLvlLbl val="0"/>
      </c:catAx>
      <c:valAx>
        <c:axId val="102120448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2118912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ORC_MENS_01_2014!$H$5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ORC_MENS_01_2014!$I$4:$J$4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ORC_MENS_01_2014!$I$5:$J$5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159277</c:v>
                </c:pt>
              </c:numCache>
            </c:numRef>
          </c:val>
        </c:ser>
        <c:ser>
          <c:idx val="1"/>
          <c:order val="1"/>
          <c:tx>
            <c:strRef>
              <c:f>ORC_MENS_01_2014!$H$6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ORC_MENS_01_2014!$I$4:$J$4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ORC_MENS_01_2014!$I$6:$J$6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31445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ORC_MENS_01_2014!$H$5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ORC_MENS_01_2014!$I$4:$K$4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ORC_MENS_01_2014!$I$5:$K$5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159277</c:v>
                </c:pt>
                <c:pt idx="2">
                  <c:v>1740</c:v>
                </c:pt>
              </c:numCache>
            </c:numRef>
          </c:val>
        </c:ser>
        <c:ser>
          <c:idx val="1"/>
          <c:order val="1"/>
          <c:tx>
            <c:strRef>
              <c:f>ORC_MENS_01_2014!$H$6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ORC_MENS_01_2014!$I$4:$K$4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ORC_MENS_01_2014!$I$6:$K$6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31445</c:v>
                </c:pt>
                <c:pt idx="2">
                  <c:v>14415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388288"/>
        <c:axId val="101389824"/>
      </c:barChart>
      <c:catAx>
        <c:axId val="10138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389824"/>
        <c:crosses val="autoZero"/>
        <c:auto val="1"/>
        <c:lblAlgn val="ctr"/>
        <c:lblOffset val="100"/>
        <c:noMultiLvlLbl val="0"/>
      </c:catAx>
      <c:valAx>
        <c:axId val="101389824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13882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ORC_MENS_02_2014!$H$5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ORC_MENS_02_2014!$I$4:$J$4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ORC_MENS_02_2014!$I$5:$J$5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152303</c:v>
                </c:pt>
              </c:numCache>
            </c:numRef>
          </c:val>
        </c:ser>
        <c:ser>
          <c:idx val="1"/>
          <c:order val="1"/>
          <c:tx>
            <c:strRef>
              <c:f>ORC_MENS_02_2014!$H$6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ORC_MENS_02_2014!$I$4:$J$4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ORC_MENS_02_2014!$I$6:$J$6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29550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ORC_MENS_02_2014!$H$5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1076454674306484E-2"/>
                  <c:y val="2.55949573893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ORC_MENS_02_2014!$I$4:$K$4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ORC_MENS_02_2014!$I$5:$K$5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152303</c:v>
                </c:pt>
                <c:pt idx="2">
                  <c:v>-5234</c:v>
                </c:pt>
              </c:numCache>
            </c:numRef>
          </c:val>
        </c:ser>
        <c:ser>
          <c:idx val="1"/>
          <c:order val="1"/>
          <c:tx>
            <c:strRef>
              <c:f>ORC_MENS_02_2014!$H$6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ORC_MENS_02_2014!$I$4:$K$4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ORC_MENS_02_2014!$I$6:$K$6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29550</c:v>
                </c:pt>
                <c:pt idx="2">
                  <c:v>16310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3270656"/>
        <c:axId val="103301120"/>
      </c:barChart>
      <c:catAx>
        <c:axId val="10327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301120"/>
        <c:crosses val="autoZero"/>
        <c:auto val="1"/>
        <c:lblAlgn val="ctr"/>
        <c:lblOffset val="100"/>
        <c:noMultiLvlLbl val="0"/>
      </c:catAx>
      <c:valAx>
        <c:axId val="103301120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327065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ORC_MENS_03_2014!$H$5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ORC_MENS_03_2014!$I$4:$J$4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ORC_MENS_03_2014!$I$5:$J$5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159636.5</c:v>
                </c:pt>
              </c:numCache>
            </c:numRef>
          </c:val>
        </c:ser>
        <c:ser>
          <c:idx val="1"/>
          <c:order val="1"/>
          <c:tx>
            <c:strRef>
              <c:f>ORC_MENS_03_2014!$H$6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ORC_MENS_03_2014!$I$4:$J$4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ORC_MENS_03_2014!$I$6:$J$6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48985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- 1.º TRIMESTRE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RESUMO_ORC_1_TRI_2014!$H$5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86E-3"/>
                  <c:y val="2.115111551225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RESUMO_ORC_1_TRI_2014!$I$4:$K$4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RESUMO_ORC_1_TRI_2014!$I$5:$K$5</c:f>
              <c:numCache>
                <c:formatCode>#,##0.00_ ;[Red]\-#,##0.00\ </c:formatCode>
                <c:ptCount val="3"/>
                <c:pt idx="0">
                  <c:v>472611</c:v>
                </c:pt>
                <c:pt idx="1">
                  <c:v>471216.5</c:v>
                </c:pt>
                <c:pt idx="2">
                  <c:v>-1394.5</c:v>
                </c:pt>
              </c:numCache>
            </c:numRef>
          </c:val>
        </c:ser>
        <c:ser>
          <c:idx val="1"/>
          <c:order val="1"/>
          <c:tx>
            <c:strRef>
              <c:f>RESUMO_ORC_1_TRI_2014!$H$6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RESUMO_ORC_1_TRI_2014!$I$4:$K$4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RESUMO_ORC_1_TRI_2014!$I$6:$K$6</c:f>
              <c:numCache>
                <c:formatCode>#,##0.00_ ;[Red]\-#,##0.00\ </c:formatCode>
                <c:ptCount val="3"/>
                <c:pt idx="0">
                  <c:v>137580</c:v>
                </c:pt>
                <c:pt idx="1">
                  <c:v>109980</c:v>
                </c:pt>
                <c:pt idx="2">
                  <c:v>27600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041792"/>
        <c:axId val="93043328"/>
      </c:barChart>
      <c:catAx>
        <c:axId val="93041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3043328"/>
        <c:crosses val="autoZero"/>
        <c:auto val="1"/>
        <c:lblAlgn val="ctr"/>
        <c:lblOffset val="100"/>
        <c:noMultiLvlLbl val="0"/>
      </c:catAx>
      <c:valAx>
        <c:axId val="93043328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93041792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ORC_MENS_03_2014!$H$5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ORC_MENS_03_2014!$I$4:$K$4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ORC_MENS_03_2014!$I$5:$K$5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159636.5</c:v>
                </c:pt>
                <c:pt idx="2">
                  <c:v>2099.5</c:v>
                </c:pt>
              </c:numCache>
            </c:numRef>
          </c:val>
        </c:ser>
        <c:ser>
          <c:idx val="1"/>
          <c:order val="1"/>
          <c:tx>
            <c:strRef>
              <c:f>ORC_MENS_03_2014!$H$6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8256202077469544E-2"/>
                  <c:y val="3.172307549162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ORC_MENS_03_2014!$I$4:$K$4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ORC_MENS_03_2014!$I$6:$K$6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48985</c:v>
                </c:pt>
                <c:pt idx="2">
                  <c:v>-3125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1360768"/>
        <c:axId val="101362304"/>
      </c:barChart>
      <c:catAx>
        <c:axId val="10136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362304"/>
        <c:crosses val="autoZero"/>
        <c:auto val="1"/>
        <c:lblAlgn val="ctr"/>
        <c:lblOffset val="100"/>
        <c:noMultiLvlLbl val="0"/>
      </c:catAx>
      <c:valAx>
        <c:axId val="101362304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136076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ORC_MENS_04_2014!$H$5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ORC_MENS_04_2014!$I$4:$J$4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ORC_MENS_04_2014!$I$5:$J$5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ORC_MENS_04_2014!$H$6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ORC_MENS_04_2014!$I$4:$J$4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ORC_MENS_04_2014!$I$6:$J$6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ORC_MENS_04_2014!$H$5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ORC_MENS_04_2014!$I$4:$K$4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ORC_MENS_04_2014!$I$5:$K$5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ORC_MENS_04_2014!$H$6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ORC_MENS_04_2014!$I$4:$K$4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ORC_MENS_04_2014!$I$6:$K$6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4103296"/>
        <c:axId val="105321600"/>
      </c:barChart>
      <c:catAx>
        <c:axId val="10410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5321600"/>
        <c:crosses val="autoZero"/>
        <c:auto val="1"/>
        <c:lblAlgn val="ctr"/>
        <c:lblOffset val="100"/>
        <c:noMultiLvlLbl val="0"/>
      </c:catAx>
      <c:valAx>
        <c:axId val="105321600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410329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ORC_MENS_05_2014!$H$5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ORC_MENS_05_2014!$I$4:$J$4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ORC_MENS_05_2014!$I$5:$J$5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ORC_MENS_05_2014!$H$6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ORC_MENS_05_2014!$I$4:$J$4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ORC_MENS_05_2014!$I$6:$J$6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ORC_MENS_05_2014!$H$5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ORC_MENS_05_2014!$I$4:$K$4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ORC_MENS_05_2014!$I$5:$K$5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ORC_MENS_05_2014!$H$6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ORC_MENS_05_2014!$I$4:$K$4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ORC_MENS_05_2014!$I$6:$K$6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913536"/>
        <c:axId val="102915072"/>
      </c:barChart>
      <c:catAx>
        <c:axId val="102913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915072"/>
        <c:crosses val="autoZero"/>
        <c:auto val="1"/>
        <c:lblAlgn val="ctr"/>
        <c:lblOffset val="100"/>
        <c:noMultiLvlLbl val="0"/>
      </c:catAx>
      <c:valAx>
        <c:axId val="102915072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291353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ORC_MENS_06_2014!$H$5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ORC_MENS_06_2014!$I$4:$J$4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ORC_MENS_06_2014!$I$5:$J$5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ORC_MENS_06_2014!$H$6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ORC_MENS_06_2014!$I$4:$J$4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ORC_MENS_06_2014!$I$6:$J$6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ORC_MENS_06_2014!$H$5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ORC_MENS_06_2014!$I$4:$K$4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ORC_MENS_06_2014!$I$5:$K$5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ORC_MENS_06_2014!$H$6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ORC_MENS_06_2014!$I$4:$K$4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ORC_MENS_06_2014!$I$6:$K$6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5873408"/>
        <c:axId val="105874944"/>
      </c:barChart>
      <c:catAx>
        <c:axId val="10587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5874944"/>
        <c:crosses val="autoZero"/>
        <c:auto val="1"/>
        <c:lblAlgn val="ctr"/>
        <c:lblOffset val="100"/>
        <c:noMultiLvlLbl val="0"/>
      </c:catAx>
      <c:valAx>
        <c:axId val="105874944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587340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ORC_MENS_07_2014!$H$5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ORC_MENS_07_2014!$I$4:$J$4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ORC_MENS_07_2014!$I$5:$J$5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ORC_MENS_07_2014!$H$6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ORC_MENS_07_2014!$I$4:$J$4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ORC_MENS_07_2014!$I$6:$J$6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ORC_MENS_07_2014!$H$5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ORC_MENS_07_2014!$I$4:$K$4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ORC_MENS_07_2014!$I$5:$K$5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ORC_MENS_07_2014!$H$6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ORC_MENS_07_2014!$I$4:$K$4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ORC_MENS_07_2014!$I$6:$K$6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1823104"/>
        <c:axId val="111833088"/>
      </c:barChart>
      <c:catAx>
        <c:axId val="11182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1833088"/>
        <c:crosses val="autoZero"/>
        <c:auto val="1"/>
        <c:lblAlgn val="ctr"/>
        <c:lblOffset val="100"/>
        <c:noMultiLvlLbl val="0"/>
      </c:catAx>
      <c:valAx>
        <c:axId val="111833088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1182310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ORC_MENS_08_2014!$H$5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ORC_MENS_08_2014!$I$4:$J$4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ORC_MENS_08_2014!$I$5:$J$5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ORC_MENS_08_2014!$H$6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ORC_MENS_08_2014!$I$4:$J$4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ORC_MENS_08_2014!$I$6:$J$6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- 2.º TRIMESTRE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RESUMO_ORC_2_TRI_2014!$H$5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RESUMO_ORC_2_TRI_2014!$I$4:$J$4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RESUMO_ORC_2_TRI_2014!$I$5:$J$5</c:f>
              <c:numCache>
                <c:formatCode>#,##0.00_ ;[Red]\-#,##0.00\ </c:formatCode>
                <c:ptCount val="2"/>
                <c:pt idx="0">
                  <c:v>472611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RESUMO_ORC_2_TRI_2014!$H$6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RESUMO_ORC_2_TRI_2014!$I$4:$J$4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RESUMO_ORC_2_TRI_2014!$I$6:$J$6</c:f>
              <c:numCache>
                <c:formatCode>#,##0.00_ ;[Red]\-#,##0.00\ </c:formatCode>
                <c:ptCount val="2"/>
                <c:pt idx="0">
                  <c:v>137580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ORC_MENS_08_2014!$H$5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ORC_MENS_08_2014!$I$4:$K$4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ORC_MENS_08_2014!$I$5:$K$5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ORC_MENS_08_2014!$H$6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ORC_MENS_08_2014!$I$4:$K$4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ORC_MENS_08_2014!$I$6:$K$6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161536"/>
        <c:axId val="112163072"/>
      </c:barChart>
      <c:catAx>
        <c:axId val="112161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163072"/>
        <c:crosses val="autoZero"/>
        <c:auto val="1"/>
        <c:lblAlgn val="ctr"/>
        <c:lblOffset val="100"/>
        <c:noMultiLvlLbl val="0"/>
      </c:catAx>
      <c:valAx>
        <c:axId val="112163072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1216153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ORC_MENS_09_2014!$H$5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ORC_MENS_09_2014!$I$4:$J$4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ORC_MENS_09_2014!$I$5:$J$5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ORC_MENS_09_2014!$H$6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ORC_MENS_09_2014!$I$4:$J$4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ORC_MENS_09_2014!$I$6:$J$6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ORC_MENS_09_2014!$H$5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ORC_MENS_09_2014!$I$4:$K$4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ORC_MENS_09_2014!$I$5:$K$5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ORC_MENS_09_2014!$H$6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ORC_MENS_09_2014!$I$4:$K$4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ORC_MENS_09_2014!$I$6:$K$6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5458688"/>
        <c:axId val="105480960"/>
      </c:barChart>
      <c:catAx>
        <c:axId val="105458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5480960"/>
        <c:crosses val="autoZero"/>
        <c:auto val="1"/>
        <c:lblAlgn val="ctr"/>
        <c:lblOffset val="100"/>
        <c:noMultiLvlLbl val="0"/>
      </c:catAx>
      <c:valAx>
        <c:axId val="105480960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54586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ORC_MENS_10_2014!$H$5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ORC_MENS_10_2014!$I$4:$J$4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ORC_MENS_10_2014!$I$5:$J$5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ORC_MENS_10_2014!$H$6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ORC_MENS_10_2014!$I$4:$J$4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ORC_MENS_10_2014!$I$6:$J$6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ORC_MENS_10_2014!$H$5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ORC_MENS_10_2014!$I$4:$K$4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ORC_MENS_10_2014!$I$5:$K$5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ORC_MENS_10_2014!$H$6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ORC_MENS_10_2014!$I$4:$K$4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ORC_MENS_10_2014!$I$6:$K$6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797184"/>
        <c:axId val="112798720"/>
      </c:barChart>
      <c:catAx>
        <c:axId val="11279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798720"/>
        <c:crosses val="autoZero"/>
        <c:auto val="1"/>
        <c:lblAlgn val="ctr"/>
        <c:lblOffset val="100"/>
        <c:noMultiLvlLbl val="0"/>
      </c:catAx>
      <c:valAx>
        <c:axId val="112798720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1279718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ORC_MENS_11_2014!$H$5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ORC_MENS_11_2014!$I$4:$J$4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ORC_MENS_11_2014!$I$5:$J$5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ORC_MENS_11_2014!$H$6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ORC_MENS_11_2014!$I$4:$J$4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ORC_MENS_11_2014!$I$6:$J$6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ORC_MENS_11_2014!$H$5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ORC_MENS_11_2014!$I$4:$K$4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ORC_MENS_11_2014!$I$5:$K$5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ORC_MENS_11_2014!$H$6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ORC_MENS_11_2014!$I$4:$K$4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ORC_MENS_11_2014!$I$6:$K$6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2779648"/>
        <c:axId val="112781184"/>
      </c:barChart>
      <c:catAx>
        <c:axId val="112779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781184"/>
        <c:crosses val="autoZero"/>
        <c:auto val="1"/>
        <c:lblAlgn val="ctr"/>
        <c:lblOffset val="100"/>
        <c:noMultiLvlLbl val="0"/>
      </c:catAx>
      <c:valAx>
        <c:axId val="112781184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1277964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ORC_MENS_12_2014!$H$5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ORC_MENS_12_2014!$I$4:$J$4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ORC_MENS_12_2014!$I$5:$J$5</c:f>
              <c:numCache>
                <c:formatCode>#,##0.00_ ;[Red]\-#,##0.00\ </c:formatCode>
                <c:ptCount val="2"/>
                <c:pt idx="0">
                  <c:v>157537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ORC_MENS_12_2014!$H$6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ORC_MENS_12_2014!$I$4:$J$4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ORC_MENS_12_2014!$I$6:$J$6</c:f>
              <c:numCache>
                <c:formatCode>#,##0.00_ ;[Red]\-#,##0.00\ </c:formatCode>
                <c:ptCount val="2"/>
                <c:pt idx="0">
                  <c:v>45860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ORC_MENS_12_2014!$H$5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ORC_MENS_12_2014!$I$4:$K$4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ORC_MENS_12_2014!$I$5:$K$5</c:f>
              <c:numCache>
                <c:formatCode>#,##0.00_ ;[Red]\-#,##0.00\ </c:formatCode>
                <c:ptCount val="3"/>
                <c:pt idx="0">
                  <c:v>157537</c:v>
                </c:pt>
                <c:pt idx="1">
                  <c:v>0</c:v>
                </c:pt>
                <c:pt idx="2">
                  <c:v>-157537</c:v>
                </c:pt>
              </c:numCache>
            </c:numRef>
          </c:val>
        </c:ser>
        <c:ser>
          <c:idx val="1"/>
          <c:order val="1"/>
          <c:tx>
            <c:strRef>
              <c:f>ORC_MENS_12_2014!$H$6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ORC_MENS_12_2014!$I$4:$K$4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ORC_MENS_12_2014!$I$6:$K$6</c:f>
              <c:numCache>
                <c:formatCode>#,##0.00_ ;[Red]\-#,##0.00\ </c:formatCode>
                <c:ptCount val="3"/>
                <c:pt idx="0">
                  <c:v>45860</c:v>
                </c:pt>
                <c:pt idx="1">
                  <c:v>0</c:v>
                </c:pt>
                <c:pt idx="2">
                  <c:v>45860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14433408"/>
        <c:axId val="114439296"/>
      </c:barChart>
      <c:catAx>
        <c:axId val="11443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4439296"/>
        <c:crosses val="autoZero"/>
        <c:auto val="1"/>
        <c:lblAlgn val="ctr"/>
        <c:lblOffset val="100"/>
        <c:noMultiLvlLbl val="0"/>
      </c:catAx>
      <c:valAx>
        <c:axId val="114439296"/>
        <c:scaling>
          <c:orientation val="minMax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1443340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- 2.º TRIMESTRE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RESUMO_ORC_2_TRI_2014!$H$5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842E-3"/>
                  <c:y val="2.1151115512250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RESUMO_ORC_2_TRI_2014!$I$4:$K$4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RESUMO_ORC_2_TRI_2014!$I$5:$K$5</c:f>
              <c:numCache>
                <c:formatCode>#,##0.00_ ;[Red]\-#,##0.00\ </c:formatCode>
                <c:ptCount val="3"/>
                <c:pt idx="0">
                  <c:v>472611</c:v>
                </c:pt>
                <c:pt idx="1">
                  <c:v>0</c:v>
                </c:pt>
                <c:pt idx="2">
                  <c:v>-472611</c:v>
                </c:pt>
              </c:numCache>
            </c:numRef>
          </c:val>
        </c:ser>
        <c:ser>
          <c:idx val="1"/>
          <c:order val="1"/>
          <c:tx>
            <c:strRef>
              <c:f>RESUMO_ORC_2_TRI_2014!$H$6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RESUMO_ORC_2_TRI_2014!$I$4:$K$4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RESUMO_ORC_2_TRI_2014!$I$6:$K$6</c:f>
              <c:numCache>
                <c:formatCode>#,##0.00_ ;[Red]\-#,##0.00\ </c:formatCode>
                <c:ptCount val="3"/>
                <c:pt idx="0">
                  <c:v>137580</c:v>
                </c:pt>
                <c:pt idx="1">
                  <c:v>0</c:v>
                </c:pt>
                <c:pt idx="2">
                  <c:v>137580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774976"/>
        <c:axId val="93776512"/>
      </c:barChart>
      <c:catAx>
        <c:axId val="9377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3776512"/>
        <c:crosses val="autoZero"/>
        <c:auto val="1"/>
        <c:lblAlgn val="ctr"/>
        <c:lblOffset val="100"/>
        <c:noMultiLvlLbl val="0"/>
      </c:catAx>
      <c:valAx>
        <c:axId val="93776512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93774976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- 3.º TRIMESTRE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RESUMO_ORC_3_TRI_2014!$H$5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RESUMO_ORC_3_TRI_2014!$I$4:$J$4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RESUMO_ORC_3_TRI_2014!$I$5:$J$5</c:f>
              <c:numCache>
                <c:formatCode>#,##0.00_ ;[Red]\-#,##0.00\ </c:formatCode>
                <c:ptCount val="2"/>
                <c:pt idx="0">
                  <c:v>472611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RESUMO_ORC_3_TRI_2014!$H$6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RESUMO_ORC_3_TRI_2014!$I$4:$J$4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RESUMO_ORC_3_TRI_2014!$I$6:$J$6</c:f>
              <c:numCache>
                <c:formatCode>#,##0.00_ ;[Red]\-#,##0.00\ </c:formatCode>
                <c:ptCount val="2"/>
                <c:pt idx="0">
                  <c:v>137580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- 3.º TRIMESTRE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RESUMO_ORC_3_TRI_2014!$H$5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816E-3"/>
                  <c:y val="2.1151115512250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RESUMO_ORC_3_TRI_2014!$I$4:$K$4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RESUMO_ORC_3_TRI_2014!$I$5:$K$5</c:f>
              <c:numCache>
                <c:formatCode>#,##0.00_ ;[Red]\-#,##0.00\ </c:formatCode>
                <c:ptCount val="3"/>
                <c:pt idx="0">
                  <c:v>472611</c:v>
                </c:pt>
                <c:pt idx="1">
                  <c:v>0</c:v>
                </c:pt>
                <c:pt idx="2">
                  <c:v>-472611</c:v>
                </c:pt>
              </c:numCache>
            </c:numRef>
          </c:val>
        </c:ser>
        <c:ser>
          <c:idx val="1"/>
          <c:order val="1"/>
          <c:tx>
            <c:strRef>
              <c:f>RESUMO_ORC_3_TRI_2014!$H$6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RESUMO_ORC_3_TRI_2014!$I$4:$K$4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RESUMO_ORC_3_TRI_2014!$I$6:$K$6</c:f>
              <c:numCache>
                <c:formatCode>#,##0.00_ ;[Red]\-#,##0.00\ </c:formatCode>
                <c:ptCount val="3"/>
                <c:pt idx="0">
                  <c:v>137580</c:v>
                </c:pt>
                <c:pt idx="1">
                  <c:v>0</c:v>
                </c:pt>
                <c:pt idx="2">
                  <c:v>137580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0354304"/>
        <c:axId val="100376576"/>
      </c:barChart>
      <c:catAx>
        <c:axId val="100354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0376576"/>
        <c:crosses val="autoZero"/>
        <c:auto val="1"/>
        <c:lblAlgn val="ctr"/>
        <c:lblOffset val="100"/>
        <c:noMultiLvlLbl val="0"/>
      </c:catAx>
      <c:valAx>
        <c:axId val="100376576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100354304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- 4.º TRIMESTRE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RESUMO_ORC_4_TRI_2014!$H$5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RESUMO_ORC_4_TRI_2014!$I$4:$J$4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RESUMO_ORC_4_TRI_2014!$I$5:$J$5</c:f>
              <c:numCache>
                <c:formatCode>#,##0.00_ ;[Red]\-#,##0.00\ </c:formatCode>
                <c:ptCount val="2"/>
                <c:pt idx="0">
                  <c:v>472611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RESUMO_ORC_4_TRI_2014!$H$6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RESUMO_ORC_4_TRI_2014!$I$4:$J$4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RESUMO_ORC_4_TRI_2014!$I$6:$J$6</c:f>
              <c:numCache>
                <c:formatCode>#,##0.00_ ;[Red]\-#,##0.00\ </c:formatCode>
                <c:ptCount val="2"/>
                <c:pt idx="0">
                  <c:v>137580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 anchor="t" anchorCtr="0"/>
          <a:lstStyle/>
          <a:p>
            <a:pPr>
              <a:defRPr/>
            </a:pPr>
            <a:r>
              <a:rPr lang="pt-PT"/>
              <a:t>DESCRIÇÃO GERAL ORÇAMENTAL - 4.º TRIMESTRE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RESUMO_ORC_4_TRI_2014!$H$5</c:f>
              <c:strCache>
                <c:ptCount val="1"/>
                <c:pt idx="0">
                  <c:v>Rendimento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5640505193673799E-3"/>
                  <c:y val="2.115111551225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RESUMO_ORC_4_TRI_2014!$I$4:$K$4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RESUMO_ORC_4_TRI_2014!$I$5:$K$5</c:f>
              <c:numCache>
                <c:formatCode>#,##0.00_ ;[Red]\-#,##0.00\ </c:formatCode>
                <c:ptCount val="3"/>
                <c:pt idx="0">
                  <c:v>472611</c:v>
                </c:pt>
                <c:pt idx="1">
                  <c:v>0</c:v>
                </c:pt>
                <c:pt idx="2">
                  <c:v>-472611</c:v>
                </c:pt>
              </c:numCache>
            </c:numRef>
          </c:val>
        </c:ser>
        <c:ser>
          <c:idx val="1"/>
          <c:order val="1"/>
          <c:tx>
            <c:strRef>
              <c:f>RESUMO_ORC_4_TRI_2014!$H$6</c:f>
              <c:strCache>
                <c:ptCount val="1"/>
                <c:pt idx="0">
                  <c:v>Despesas</c:v>
                </c:pt>
              </c:strCache>
            </c:strRef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RESUMO_ORC_4_TRI_2014!$I$4:$K$4</c:f>
              <c:strCache>
                <c:ptCount val="3"/>
                <c:pt idx="0">
                  <c:v>ESTIMADO</c:v>
                </c:pt>
                <c:pt idx="1">
                  <c:v>REAL</c:v>
                </c:pt>
                <c:pt idx="2">
                  <c:v>DIFERENÇA</c:v>
                </c:pt>
              </c:strCache>
            </c:strRef>
          </c:cat>
          <c:val>
            <c:numRef>
              <c:f>RESUMO_ORC_4_TRI_2014!$I$6:$K$6</c:f>
              <c:numCache>
                <c:formatCode>#,##0.00_ ;[Red]\-#,##0.00\ </c:formatCode>
                <c:ptCount val="3"/>
                <c:pt idx="0">
                  <c:v>137580</c:v>
                </c:pt>
                <c:pt idx="1">
                  <c:v>0</c:v>
                </c:pt>
                <c:pt idx="2">
                  <c:v>137580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3481600"/>
        <c:axId val="93507968"/>
      </c:barChart>
      <c:catAx>
        <c:axId val="93481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3507968"/>
        <c:crosses val="autoZero"/>
        <c:auto val="1"/>
        <c:lblAlgn val="ctr"/>
        <c:lblOffset val="100"/>
        <c:noMultiLvlLbl val="0"/>
      </c:catAx>
      <c:valAx>
        <c:axId val="93507968"/>
        <c:scaling>
          <c:orientation val="minMax"/>
          <c:max val="600000"/>
          <c:min val="-5000"/>
        </c:scaling>
        <c:delete val="0"/>
        <c:axPos val="l"/>
        <c:majorGridlines/>
        <c:numFmt formatCode="#,##0.00_ ;[Red]\-#,##0.00\ " sourceLinked="1"/>
        <c:majorTickMark val="out"/>
        <c:minorTickMark val="none"/>
        <c:tickLblPos val="nextTo"/>
        <c:crossAx val="93481600"/>
        <c:crosses val="autoZero"/>
        <c:crossBetween val="between"/>
        <c:majorUnit val="100000"/>
        <c:minorUnit val="10000"/>
      </c:valAx>
    </c:plotArea>
    <c:legend>
      <c:legendPos val="r"/>
      <c:overlay val="0"/>
    </c:legend>
    <c:plotVisOnly val="1"/>
    <c:dispBlanksAs val="zero"/>
    <c:showDLblsOverMax val="0"/>
  </c:chart>
  <c:spPr>
    <a:ln w="3175"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/>
              <a:t>DESCRIÇÃO GERAL ORÇAMENTAL - 1.º SEMESTRE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RESUMO_ORC_3_TRI_2014!$H$5</c:f>
              <c:strCache>
                <c:ptCount val="1"/>
                <c:pt idx="0">
                  <c:v>Rendimento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RESUMO_ORC_3_TRI_2014!$I$4:$J$4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RESUMO_ORC_3_TRI_2014!$I$5:$J$5</c:f>
              <c:numCache>
                <c:formatCode>#,##0.00_ ;[Red]\-#,##0.00\ </c:formatCode>
                <c:ptCount val="2"/>
                <c:pt idx="0">
                  <c:v>472611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RESUMO_ORC_3_TRI_2014!$H$6</c:f>
              <c:strCache>
                <c:ptCount val="1"/>
                <c:pt idx="0">
                  <c:v>Despesas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RESUMO_ORC_3_TRI_2014!$I$4:$J$4</c:f>
              <c:strCache>
                <c:ptCount val="2"/>
                <c:pt idx="0">
                  <c:v>ESTIMADO</c:v>
                </c:pt>
                <c:pt idx="1">
                  <c:v>REAL</c:v>
                </c:pt>
              </c:strCache>
            </c:strRef>
          </c:cat>
          <c:val>
            <c:numRef>
              <c:f>RESUMO_ORC_3_TRI_2014!$I$6:$J$6</c:f>
              <c:numCache>
                <c:formatCode>#,##0.00_ ;[Red]\-#,##0.00\ </c:formatCode>
                <c:ptCount val="2"/>
                <c:pt idx="0">
                  <c:v>137580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3</xdr:row>
      <xdr:rowOff>257175</xdr:rowOff>
    </xdr:from>
    <xdr:to>
      <xdr:col>2</xdr:col>
      <xdr:colOff>447675</xdr:colOff>
      <xdr:row>4</xdr:row>
      <xdr:rowOff>247650</xdr:rowOff>
    </xdr:to>
    <xdr:pic>
      <xdr:nvPicPr>
        <xdr:cNvPr id="2" name="Imagem 2" descr="folder-explorer-icon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924050"/>
          <a:ext cx="3714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12409</xdr:colOff>
      <xdr:row>7</xdr:row>
      <xdr:rowOff>69558</xdr:rowOff>
    </xdr:from>
    <xdr:to>
      <xdr:col>9</xdr:col>
      <xdr:colOff>414840</xdr:colOff>
      <xdr:row>19</xdr:row>
      <xdr:rowOff>45745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2608094</xdr:colOff>
      <xdr:row>16</xdr:row>
      <xdr:rowOff>105905</xdr:rowOff>
    </xdr:from>
    <xdr:to>
      <xdr:col>12</xdr:col>
      <xdr:colOff>1879</xdr:colOff>
      <xdr:row>30</xdr:row>
      <xdr:rowOff>125330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87606</xdr:colOff>
      <xdr:row>7</xdr:row>
      <xdr:rowOff>44492</xdr:rowOff>
    </xdr:from>
    <xdr:to>
      <xdr:col>9</xdr:col>
      <xdr:colOff>490037</xdr:colOff>
      <xdr:row>19</xdr:row>
      <xdr:rowOff>20679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2608095</xdr:colOff>
      <xdr:row>15</xdr:row>
      <xdr:rowOff>181101</xdr:rowOff>
    </xdr:from>
    <xdr:to>
      <xdr:col>12</xdr:col>
      <xdr:colOff>1880</xdr:colOff>
      <xdr:row>31</xdr:row>
      <xdr:rowOff>12532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12409</xdr:colOff>
      <xdr:row>7</xdr:row>
      <xdr:rowOff>69557</xdr:rowOff>
    </xdr:from>
    <xdr:to>
      <xdr:col>9</xdr:col>
      <xdr:colOff>414840</xdr:colOff>
      <xdr:row>19</xdr:row>
      <xdr:rowOff>45744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16</xdr:row>
      <xdr:rowOff>5641</xdr:rowOff>
    </xdr:from>
    <xdr:to>
      <xdr:col>11</xdr:col>
      <xdr:colOff>916780</xdr:colOff>
      <xdr:row>30</xdr:row>
      <xdr:rowOff>50131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37474</xdr:colOff>
      <xdr:row>7</xdr:row>
      <xdr:rowOff>132223</xdr:rowOff>
    </xdr:from>
    <xdr:to>
      <xdr:col>9</xdr:col>
      <xdr:colOff>439905</xdr:colOff>
      <xdr:row>19</xdr:row>
      <xdr:rowOff>108410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2620627</xdr:colOff>
      <xdr:row>16</xdr:row>
      <xdr:rowOff>80838</xdr:rowOff>
    </xdr:from>
    <xdr:to>
      <xdr:col>12</xdr:col>
      <xdr:colOff>14412</xdr:colOff>
      <xdr:row>30</xdr:row>
      <xdr:rowOff>125328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62540</xdr:colOff>
      <xdr:row>7</xdr:row>
      <xdr:rowOff>107156</xdr:rowOff>
    </xdr:from>
    <xdr:to>
      <xdr:col>9</xdr:col>
      <xdr:colOff>464971</xdr:colOff>
      <xdr:row>19</xdr:row>
      <xdr:rowOff>83343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2545430</xdr:colOff>
      <xdr:row>17</xdr:row>
      <xdr:rowOff>5641</xdr:rowOff>
    </xdr:from>
    <xdr:to>
      <xdr:col>11</xdr:col>
      <xdr:colOff>866649</xdr:colOff>
      <xdr:row>30</xdr:row>
      <xdr:rowOff>175460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24942</xdr:colOff>
      <xdr:row>7</xdr:row>
      <xdr:rowOff>94623</xdr:rowOff>
    </xdr:from>
    <xdr:to>
      <xdr:col>9</xdr:col>
      <xdr:colOff>427373</xdr:colOff>
      <xdr:row>19</xdr:row>
      <xdr:rowOff>70810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2532897</xdr:colOff>
      <xdr:row>16</xdr:row>
      <xdr:rowOff>105904</xdr:rowOff>
    </xdr:from>
    <xdr:to>
      <xdr:col>11</xdr:col>
      <xdr:colOff>854116</xdr:colOff>
      <xdr:row>30</xdr:row>
      <xdr:rowOff>150394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31</xdr:row>
      <xdr:rowOff>112796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9837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9384" y="5219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24941</xdr:colOff>
      <xdr:row>7</xdr:row>
      <xdr:rowOff>44492</xdr:rowOff>
    </xdr:from>
    <xdr:to>
      <xdr:col>9</xdr:col>
      <xdr:colOff>427372</xdr:colOff>
      <xdr:row>19</xdr:row>
      <xdr:rowOff>20679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2570496</xdr:colOff>
      <xdr:row>16</xdr:row>
      <xdr:rowOff>118437</xdr:rowOff>
    </xdr:from>
    <xdr:to>
      <xdr:col>11</xdr:col>
      <xdr:colOff>891715</xdr:colOff>
      <xdr:row>30</xdr:row>
      <xdr:rowOff>162927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451060</xdr:colOff>
      <xdr:row>7</xdr:row>
      <xdr:rowOff>69557</xdr:rowOff>
    </xdr:from>
    <xdr:to>
      <xdr:col>9</xdr:col>
      <xdr:colOff>402307</xdr:colOff>
      <xdr:row>19</xdr:row>
      <xdr:rowOff>45744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16</xdr:row>
      <xdr:rowOff>118437</xdr:rowOff>
    </xdr:from>
    <xdr:to>
      <xdr:col>11</xdr:col>
      <xdr:colOff>916780</xdr:colOff>
      <xdr:row>30</xdr:row>
      <xdr:rowOff>162927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438527</xdr:colOff>
      <xdr:row>8</xdr:row>
      <xdr:rowOff>57025</xdr:rowOff>
    </xdr:from>
    <xdr:to>
      <xdr:col>9</xdr:col>
      <xdr:colOff>389774</xdr:colOff>
      <xdr:row>20</xdr:row>
      <xdr:rowOff>33212</xdr:rowOff>
    </xdr:to>
    <xdr:graphicFrame macro="">
      <xdr:nvGraphicFramePr>
        <xdr:cNvPr id="2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2595561</xdr:colOff>
      <xdr:row>17</xdr:row>
      <xdr:rowOff>143503</xdr:rowOff>
    </xdr:from>
    <xdr:to>
      <xdr:col>11</xdr:col>
      <xdr:colOff>916780</xdr:colOff>
      <xdr:row>30</xdr:row>
      <xdr:rowOff>18298</xdr:rowOff>
    </xdr:to>
    <xdr:graphicFrame macro="">
      <xdr:nvGraphicFramePr>
        <xdr:cNvPr id="3" name="DescriçãoGeralOrçamento" descr="Bar chart showing estimated versus actual income and expens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1104900</xdr:colOff>
      <xdr:row>2</xdr:row>
      <xdr:rowOff>8121</xdr:rowOff>
    </xdr:to>
    <xdr:sp macro="" textlink="">
      <xdr:nvSpPr>
        <xdr:cNvPr id="4" name="Ver Desempenho" descr="&quot;&quot;">
          <a:hlinkClick xmlns:r="http://schemas.openxmlformats.org/officeDocument/2006/relationships" r:id="rId3" tooltip="Clique para ver o seu desempenho"/>
        </xdr:cNvPr>
        <xdr:cNvSpPr>
          <a:spLocks noChangeArrowheads="1"/>
        </xdr:cNvSpPr>
      </xdr:nvSpPr>
      <xdr:spPr bwMode="auto">
        <a:xfrm>
          <a:off x="13435263" y="50132"/>
          <a:ext cx="1104900" cy="283844"/>
        </a:xfrm>
        <a:prstGeom prst="rect">
          <a:avLst/>
        </a:prstGeom>
        <a:solidFill>
          <a:srgbClr val="FFFF66"/>
        </a:solidFill>
        <a:ln w="0">
          <a:noFill/>
          <a:prstDash val="solid"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200" b="1">
              <a:solidFill>
                <a:srgbClr val="002060"/>
              </a:solidFill>
            </a:rPr>
            <a:t>HOME &gt;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y/Downloads/ARTIGOS_EXCEL_BR/AVALIACAO_DESEMPENHO/AVALIACAO_DESEMPENH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esemp_EXCEL_2010_BAS_S_PROF"/>
      <sheetName val="Desemp_EXCEL_2010_BAS_C_PROF"/>
      <sheetName val="Desemp_EXCEL_2007_AVANC_S_PROF"/>
      <sheetName val="Desemp_EXCEL_2007_AVANC_C_PROF"/>
      <sheetName val="RESUMO"/>
      <sheetName val="Definições"/>
      <sheetName val="Cálculo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D4" t="str">
            <v>Microsoft Office Excel 2010 Básico sem professor</v>
          </cell>
        </row>
        <row r="5">
          <cell r="D5" t="str">
            <v>Microsoft Office Excel 2010 Básico com professor</v>
          </cell>
        </row>
        <row r="6">
          <cell r="D6" t="str">
            <v>Microsoft Excel 2007 Avançado sem professor</v>
          </cell>
        </row>
        <row r="7">
          <cell r="D7" t="str">
            <v>Microsoft Excel 2007 Avançado com professor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id="61" name="TabelaDeDespesasOperacionais7121462" displayName="TabelaDeDespesasOperacionais7121462" ref="B18:F31" totalsRowCount="1" headerRowDxfId="797" totalsRowDxfId="796">
  <autoFilter ref="B18:F30"/>
  <sortState ref="B19:F39">
    <sortCondition ref="B16:B37"/>
  </sortState>
  <tableColumns count="5">
    <tableColumn id="1" name="DESPESAS COM FUNCIONAMENTO" totalsRowLabel="Total de Funcionamento" dataDxfId="795" totalsRowDxfId="794"/>
    <tableColumn id="2" name="ESTIMADO" totalsRowFunction="custom" dataDxfId="793" totalsRowDxfId="792">
      <calculatedColumnFormula>TabelaDeDespesasOperacionais71214[[#This Row],[ESTIMADO]]+TabelaDeDespesasOperacionais7121417[[#This Row],[ESTIMADO]]+TabelaDeDespesasOperacionais712141722[[#This Row],[ESTIMADO]]</calculatedColumnFormula>
      <totalsRowFormula>SUBTOTAL(9,TabelaDeDespesasOperacionais7121462[ESTIMADO])</totalsRowFormula>
    </tableColumn>
    <tableColumn id="3" name="REAL" totalsRowFunction="custom" dataDxfId="791" totalsRowDxfId="790">
      <calculatedColumnFormula>TabelaDeDespesasOperacionais71214[[#This Row],[REAL]]+TabelaDeDespesasOperacionais7121417[[#This Row],[REAL]]+TabelaDeDespesasOperacionais712141722[[#This Row],[REAL]]</calculatedColumnFormula>
      <totalsRowFormula>SUBTOTAL(9,TabelaDeDespesasOperacionais7121462[REAL])</totalsRowFormula>
    </tableColumn>
    <tableColumn id="5" name="5 Maiores Quantias" totalsRowFunction="custom" dataDxfId="789" totalsRowDxfId="788">
      <calculatedColumnFormula>TabelaDeDespesasOperacionais7121462[[#This Row],[REAL]]+(10^-6)*ROW(TabelaDeDespesasOperacionais7121462[[#This Row],[REAL]])</calculatedColumnFormula>
      <totalsRowFormula>SUBTOTAL(9,TabelaDeDespesasOperacionais7121462[5 Maiores Quantias])</totalsRowFormula>
    </tableColumn>
    <tableColumn id="4" name="DIFERENÇA" totalsRowFunction="custom" dataDxfId="787" totalsRowDxfId="786">
      <calculatedColumnFormula>TabelaDeDespesasOperacionais7121462[[#This Row],[ESTIMADO]]-TabelaDeDespesasOperacionais7121462[[#This Row],[REAL]]</calculatedColumnFormula>
      <totalsRowFormula>SUBTOTAL(9,TabelaDeDespesasOperacionais7121462[DIFERENÇA])</totalsRowFormula>
    </tableColumn>
  </tableColumns>
  <tableStyleInfo name="Monthly Budget" showFirstColumn="0" showLastColumn="0" showRowStripes="0" showColumnStripes="0"/>
</table>
</file>

<file path=xl/tables/table10.xml><?xml version="1.0" encoding="utf-8"?>
<table xmlns="http://schemas.openxmlformats.org/spreadsheetml/2006/main" id="82" name="TabelaDeRendimentos81315637983" displayName="TabelaDeRendimentos81315637983" ref="B4:F9" totalsRowCount="1" headerRowDxfId="701" totalsRowDxfId="700">
  <autoFilter ref="B4:F8"/>
  <tableColumns count="5">
    <tableColumn id="1" name="RENDIMENTOS" totalsRowLabel="Total Rendimentos" dataDxfId="699" totalsRowDxfId="698"/>
    <tableColumn id="2" name="ESTIMADO" totalsRowFunction="custom" dataDxfId="697" totalsRowDxfId="696">
      <calculatedColumnFormula>TabelaDeRendimentos81315192327313539[[#This Row],[ESTIMADO]]+TabelaDeRendimentos8131519232731353943[[#This Row],[ESTIMADO]]+TabelaDeRendimentos813151923273135394347[[#This Row],[ESTIMADO]]</calculatedColumnFormula>
      <totalsRowFormula>SUBTOTAL(9,TabelaDeRendimentos81315637983[ESTIMADO])</totalsRowFormula>
    </tableColumn>
    <tableColumn id="3" name="REAL" totalsRowFunction="custom" dataDxfId="695" totalsRowDxfId="694">
      <calculatedColumnFormula>TabelaDeRendimentos81315192327313539[[#This Row],[REAL]]+TabelaDeRendimentos8131519232731353943[[#This Row],[REAL]]+TabelaDeRendimentos813151923273135394347[[#This Row],[REAL]]</calculatedColumnFormula>
      <totalsRowFormula>SUBTOTAL(9,TabelaDeRendimentos81315637983[REAL])</totalsRowFormula>
    </tableColumn>
    <tableColumn id="5" name="5 Maiores Quantias" totalsRowFunction="custom" dataDxfId="693" totalsRowDxfId="692">
      <calculatedColumnFormula>TabelaDeRendimentos81315637983[[#This Row],[REAL]]+(10^-6)*ROW(TabelaDeRendimentos81315637983[[#This Row],[REAL]])</calculatedColumnFormula>
      <totalsRowFormula>SUBTOTAL(9,TabelaDeRendimentos81315637983[5 Maiores Quantias])</totalsRowFormula>
    </tableColumn>
    <tableColumn id="4" name="DIFERENÇA" totalsRowFunction="custom" dataDxfId="691" totalsRowDxfId="690">
      <calculatedColumnFormula>TabelaDeRendimentos81315637983[[#This Row],[REAL]]-TabelaDeRendimentos81315637983[[#This Row],[ESTIMADO]]</calculatedColumnFormula>
      <totalsRowFormula>SUBTOTAL(9,TabelaDeRendimentos81315637983[DIFERENÇA])</totalsRowFormula>
    </tableColumn>
  </tableColumns>
  <tableStyleInfo name="Monthly Budget" showFirstColumn="0" showLastColumn="0" showRowStripes="0" showColumnStripes="0"/>
</table>
</file>

<file path=xl/tables/table11.xml><?xml version="1.0" encoding="utf-8"?>
<table xmlns="http://schemas.openxmlformats.org/spreadsheetml/2006/main" id="83" name="TabelaDeTotais91416648084" displayName="TabelaDeTotais91416648084" ref="H4:K7" totalsRowCount="1" headerRowDxfId="689" totalsRowDxfId="688">
  <autoFilter ref="H4:K6"/>
  <tableColumns count="4">
    <tableColumn id="1" name="TOTAL ORÇAMENTAL" totalsRowLabel="Balanço (Rendimento menos Despesas)" totalsRowDxfId="687"/>
    <tableColumn id="2" name="ESTIMADO" totalsRowFunction="custom" totalsRowDxfId="686">
      <totalsRowFormula>I5-I6</totalsRowFormula>
    </tableColumn>
    <tableColumn id="3" name="REAL" totalsRowFunction="custom" totalsRowDxfId="685">
      <totalsRowFormula>J5-J6</totalsRowFormula>
    </tableColumn>
    <tableColumn id="4" name="DIFERENÇA" totalsRowFunction="custom" totalsRowDxfId="684">
      <totalsRowFormula>TabelaDeTotais91416648084[[#Totals],[REAL]]-TabelaDeTotais91416648084[[#Totals],[ESTIMADO]]</totalsRowFormula>
    </tableColumn>
  </tableColumns>
  <tableStyleInfo name="Monthly Budget" showFirstColumn="0" showLastColumn="1" showRowStripes="0" showColumnStripes="0"/>
</table>
</file>

<file path=xl/tables/table12.xml><?xml version="1.0" encoding="utf-8"?>
<table xmlns="http://schemas.openxmlformats.org/spreadsheetml/2006/main" id="84" name="TabelaDeDespesasDePessoal111618658185" displayName="TabelaDeDespesasDePessoal111618658185" ref="B11:F16" totalsRowCount="1" headerRowDxfId="683" totalsRowDxfId="682">
  <autoFilter ref="B11:F15"/>
  <tableColumns count="5">
    <tableColumn id="1" name="DESPESAS COM PESSOAL" totalsRowLabel="Total de Pessoal" dataDxfId="681" totalsRowDxfId="680"/>
    <tableColumn id="2" name="ESTIMADO" totalsRowFunction="custom" dataDxfId="679" totalsRowDxfId="678">
      <calculatedColumnFormula>TabelaDeDespesasDePessoal111618212529333741[[#This Row],[ESTIMADO]]+TabelaDeDespesasDePessoal11161821252933374145[[#This Row],[ESTIMADO]]+TabelaDeDespesasDePessoal1116182125293337414549[[#This Row],[ESTIMADO]]</calculatedColumnFormula>
      <totalsRowFormula>SUBTOTAL(9,TabelaDeDespesasDePessoal111618658185[ESTIMADO])</totalsRowFormula>
    </tableColumn>
    <tableColumn id="3" name="REAL" totalsRowFunction="custom" dataDxfId="677" totalsRowDxfId="676">
      <calculatedColumnFormula>TabelaDeDespesasDePessoal111618212529333741[[#This Row],[REAL]]+TabelaDeDespesasDePessoal11161821252933374145[[#This Row],[REAL]]+TabelaDeDespesasDePessoal1116182125293337414549[[#This Row],[REAL]]</calculatedColumnFormula>
      <totalsRowFormula>SUBTOTAL(9,TabelaDeDespesasDePessoal111618658185[REAL])</totalsRowFormula>
    </tableColumn>
    <tableColumn id="4" name="5 Maiores Quantias" totalsRowFunction="custom" dataDxfId="675" totalsRowDxfId="674">
      <calculatedColumnFormula>TabelaDeDespesasDePessoal111618658185[[#This Row],[REAL]]+(10^-6)*ROW(TabelaDeDespesasDePessoal111618658185[[#This Row],[REAL]])</calculatedColumnFormula>
      <totalsRowFormula>SUBTOTAL(9,TabelaDeDespesasDePessoal111618658185[5 Maiores Quantias])</totalsRowFormula>
    </tableColumn>
    <tableColumn id="5" name="DIFERENÇA" totalsRowFunction="custom" dataDxfId="673" totalsRowDxfId="672">
      <calculatedColumnFormula>TabelaDeDespesasDePessoal111618658185[[#This Row],[ESTIMADO]]-TabelaDeDespesasDePessoal111618658185[[#This Row],[REAL]]</calculatedColumnFormula>
      <totalsRowFormula>SUBTOTAL(9,TabelaDeDespesasDePessoal111618658185[DIFERENÇA])</totalsRowFormula>
    </tableColumn>
  </tableColumns>
  <tableStyleInfo name="Monthly Budget" showFirstColumn="0" showLastColumn="0" showRowStripes="0" showColumnStripes="0"/>
</table>
</file>

<file path=xl/tables/table13.xml><?xml version="1.0" encoding="utf-8"?>
<table xmlns="http://schemas.openxmlformats.org/spreadsheetml/2006/main" id="85" name="TabelaDeDespesasOperacionais7121462788286" displayName="TabelaDeDespesasOperacionais7121462788286" ref="B18:F31" totalsRowCount="1" headerRowDxfId="671" totalsRowDxfId="670">
  <autoFilter ref="B18:F30"/>
  <sortState ref="B19:F39">
    <sortCondition ref="B16:B37"/>
  </sortState>
  <tableColumns count="5">
    <tableColumn id="1" name="DESPESAS COM FUNCIONAMENTO" totalsRowLabel="Total de Funcionamento" dataDxfId="669" totalsRowDxfId="668"/>
    <tableColumn id="2" name="ESTIMADO" totalsRowFunction="custom" dataDxfId="667" totalsRowDxfId="666">
      <calculatedColumnFormula>TabelaDeDespesasOperacionais71214172226303438424650[[#This Row],[ESTIMADO]]+TabelaDeDespesasOperacionais7121417222630343842465054[[#This Row],[ESTIMADO]]+TabelaDeDespesasOperacionais712141722263034384246505458[[#This Row],[ESTIMADO]]</calculatedColumnFormula>
      <totalsRowFormula>SUBTOTAL(9,TabelaDeDespesasOperacionais7121462788286[ESTIMADO])</totalsRowFormula>
    </tableColumn>
    <tableColumn id="3" name="REAL" totalsRowFunction="custom" dataDxfId="665" totalsRowDxfId="664">
      <calculatedColumnFormula>TabelaDeDespesasOperacionais71214172226303438424650[[#This Row],[REAL]]+TabelaDeDespesasOperacionais7121417222630343842465054[[#This Row],[REAL]]+TabelaDeDespesasOperacionais712141722263034384246505458[[#This Row],[REAL]]</calculatedColumnFormula>
      <totalsRowFormula>SUBTOTAL(9,TabelaDeDespesasOperacionais7121462788286[REAL])</totalsRowFormula>
    </tableColumn>
    <tableColumn id="5" name="5 Maiores Quantias" totalsRowFunction="custom" dataDxfId="663" totalsRowDxfId="662">
      <calculatedColumnFormula>TabelaDeDespesasOperacionais7121462788286[[#This Row],[REAL]]+(10^-6)*ROW(TabelaDeDespesasOperacionais7121462788286[[#This Row],[REAL]])</calculatedColumnFormula>
      <totalsRowFormula>SUBTOTAL(9,TabelaDeDespesasOperacionais7121462788286[5 Maiores Quantias])</totalsRowFormula>
    </tableColumn>
    <tableColumn id="4" name="DIFERENÇA" totalsRowFunction="custom" dataDxfId="661" totalsRowDxfId="660">
      <calculatedColumnFormula>TabelaDeDespesasOperacionais7121462788286[[#This Row],[ESTIMADO]]-TabelaDeDespesasOperacionais7121462788286[[#This Row],[REAL]]</calculatedColumnFormula>
      <totalsRowFormula>SUBTOTAL(9,TabelaDeDespesasOperacionais7121462788286[DIFERENÇA])</totalsRowFormula>
    </tableColumn>
  </tableColumns>
  <tableStyleInfo name="Monthly Budget" showFirstColumn="0" showLastColumn="0" showRowStripes="0" showColumnStripes="0"/>
</table>
</file>

<file path=xl/tables/table14.xml><?xml version="1.0" encoding="utf-8"?>
<table xmlns="http://schemas.openxmlformats.org/spreadsheetml/2006/main" id="86" name="TabelaDeRendimentos8131563798387" displayName="TabelaDeRendimentos8131563798387" ref="B4:F9" totalsRowCount="1" headerRowDxfId="659" totalsRowDxfId="658">
  <autoFilter ref="B4:F8"/>
  <tableColumns count="5">
    <tableColumn id="1" name="RENDIMENTOS" totalsRowLabel="Total Rendimentos" dataDxfId="657" totalsRowDxfId="656"/>
    <tableColumn id="2" name="ESTIMADO" totalsRowFunction="custom" dataDxfId="655" totalsRowDxfId="654">
      <calculatedColumnFormula>TabelaDeRendimentos81315192327313539434751[[#This Row],[ESTIMADO]]+TabelaDeRendimentos8131519232731353943475155[[#This Row],[ESTIMADO]]+TabelaDeRendimentos813151923273135394347515559[[#This Row],[ESTIMADO]]</calculatedColumnFormula>
      <totalsRowFormula>SUBTOTAL(9,TabelaDeRendimentos8131563798387[ESTIMADO])</totalsRowFormula>
    </tableColumn>
    <tableColumn id="3" name="REAL" totalsRowFunction="custom" dataDxfId="653" totalsRowDxfId="652">
      <calculatedColumnFormula>TabelaDeRendimentos81315192327313539434751[[#This Row],[REAL]]+TabelaDeRendimentos8131519232731353943475155[[#This Row],[REAL]]+TabelaDeRendimentos813151923273135394347515559[[#This Row],[REAL]]</calculatedColumnFormula>
      <totalsRowFormula>SUBTOTAL(9,TabelaDeRendimentos8131563798387[REAL])</totalsRowFormula>
    </tableColumn>
    <tableColumn id="5" name="5 Maiores Quantias" totalsRowFunction="custom" dataDxfId="651" totalsRowDxfId="650">
      <calculatedColumnFormula>TabelaDeRendimentos8131563798387[[#This Row],[REAL]]+(10^-6)*ROW(TabelaDeRendimentos8131563798387[[#This Row],[REAL]])</calculatedColumnFormula>
      <totalsRowFormula>SUBTOTAL(9,TabelaDeRendimentos8131563798387[5 Maiores Quantias])</totalsRowFormula>
    </tableColumn>
    <tableColumn id="4" name="DIFERENÇA" totalsRowFunction="custom" dataDxfId="649" totalsRowDxfId="648">
      <calculatedColumnFormula>TabelaDeRendimentos8131563798387[[#This Row],[REAL]]-TabelaDeRendimentos8131563798387[[#This Row],[ESTIMADO]]</calculatedColumnFormula>
      <totalsRowFormula>SUBTOTAL(9,TabelaDeRendimentos8131563798387[DIFERENÇA])</totalsRowFormula>
    </tableColumn>
  </tableColumns>
  <tableStyleInfo name="Monthly Budget" showFirstColumn="0" showLastColumn="0" showRowStripes="0" showColumnStripes="0"/>
</table>
</file>

<file path=xl/tables/table15.xml><?xml version="1.0" encoding="utf-8"?>
<table xmlns="http://schemas.openxmlformats.org/spreadsheetml/2006/main" id="87" name="TabelaDeTotais9141664808488" displayName="TabelaDeTotais9141664808488" ref="H4:K7" totalsRowCount="1" headerRowDxfId="647" totalsRowDxfId="646">
  <autoFilter ref="H4:K6"/>
  <tableColumns count="4">
    <tableColumn id="1" name="TOTAL ORÇAMENTAL" totalsRowLabel="Balanço (Rendimento menos Despesas)" totalsRowDxfId="645"/>
    <tableColumn id="2" name="ESTIMADO" totalsRowFunction="custom" totalsRowDxfId="644">
      <totalsRowFormula>I5-I6</totalsRowFormula>
    </tableColumn>
    <tableColumn id="3" name="REAL" totalsRowFunction="custom" totalsRowDxfId="643">
      <totalsRowFormula>J5-J6</totalsRowFormula>
    </tableColumn>
    <tableColumn id="4" name="DIFERENÇA" totalsRowFunction="custom" totalsRowDxfId="642">
      <totalsRowFormula>TabelaDeTotais9141664808488[[#Totals],[REAL]]-TabelaDeTotais9141664808488[[#Totals],[ESTIMADO]]</totalsRowFormula>
    </tableColumn>
  </tableColumns>
  <tableStyleInfo name="Monthly Budget" showFirstColumn="0" showLastColumn="1" showRowStripes="0" showColumnStripes="0"/>
</table>
</file>

<file path=xl/tables/table16.xml><?xml version="1.0" encoding="utf-8"?>
<table xmlns="http://schemas.openxmlformats.org/spreadsheetml/2006/main" id="88" name="TabelaDeDespesasDePessoal11161865818589" displayName="TabelaDeDespesasDePessoal11161865818589" ref="B11:F16" totalsRowCount="1" headerRowDxfId="641" totalsRowDxfId="640">
  <autoFilter ref="B11:F15"/>
  <tableColumns count="5">
    <tableColumn id="1" name="DESPESAS COM PESSOAL" totalsRowLabel="Total de Pessoal" dataDxfId="639" totalsRowDxfId="638"/>
    <tableColumn id="2" name="ESTIMADO" totalsRowFunction="custom" dataDxfId="637" totalsRowDxfId="636">
      <calculatedColumnFormula>TabelaDeDespesasDePessoal111618212529333741454953[[#This Row],[ESTIMADO]]+TabelaDeDespesasDePessoal11161821252933374145495357[[#This Row],[ESTIMADO]]+TabelaDeDespesasDePessoal1116182125293337414549535761[[#This Row],[ESTIMADO]]</calculatedColumnFormula>
      <totalsRowFormula>SUBTOTAL(9,TabelaDeDespesasDePessoal11161865818589[ESTIMADO])</totalsRowFormula>
    </tableColumn>
    <tableColumn id="3" name="REAL" totalsRowFunction="custom" dataDxfId="635" totalsRowDxfId="634">
      <calculatedColumnFormula>TabelaDeDespesasDePessoal111618212529333741454953[[#This Row],[REAL]]+TabelaDeDespesasDePessoal11161821252933374145495357[[#This Row],[REAL]]+TabelaDeDespesasDePessoal1116182125293337414549535761[[#This Row],[REAL]]</calculatedColumnFormula>
      <totalsRowFormula>SUBTOTAL(9,TabelaDeDespesasDePessoal11161865818589[REAL])</totalsRowFormula>
    </tableColumn>
    <tableColumn id="4" name="5 Maiores Quantias" totalsRowFunction="custom" dataDxfId="633" totalsRowDxfId="632">
      <calculatedColumnFormula>TabelaDeDespesasDePessoal11161865818589[[#This Row],[REAL]]+(10^-6)*ROW(TabelaDeDespesasDePessoal11161865818589[[#This Row],[REAL]])</calculatedColumnFormula>
      <totalsRowFormula>SUBTOTAL(9,TabelaDeDespesasDePessoal11161865818589[5 Maiores Quantias])</totalsRowFormula>
    </tableColumn>
    <tableColumn id="5" name="DIFERENÇA" totalsRowFunction="custom" dataDxfId="631" totalsRowDxfId="630">
      <calculatedColumnFormula>TabelaDeDespesasDePessoal11161865818589[[#This Row],[ESTIMADO]]-TabelaDeDespesasDePessoal11161865818589[[#This Row],[REAL]]</calculatedColumnFormula>
      <totalsRowFormula>SUBTOTAL(9,TabelaDeDespesasDePessoal11161865818589[DIFERENÇA])</totalsRowFormula>
    </tableColumn>
  </tableColumns>
  <tableStyleInfo name="Monthly Budget" showFirstColumn="0" showLastColumn="0" showRowStripes="0" showColumnStripes="0"/>
</table>
</file>

<file path=xl/tables/table17.xml><?xml version="1.0" encoding="utf-8"?>
<table xmlns="http://schemas.openxmlformats.org/spreadsheetml/2006/main" id="89" name="TabelaDeDespesasOperacionais7121462788290" displayName="TabelaDeDespesasOperacionais7121462788290" ref="B18:F31" totalsRowCount="1" headerRowDxfId="629" totalsRowDxfId="628">
  <autoFilter ref="B18:F30"/>
  <sortState ref="B19:F39">
    <sortCondition ref="B16:B37"/>
  </sortState>
  <tableColumns count="5">
    <tableColumn id="1" name="DESPESAS COM FUNCIONAMENTO" totalsRowLabel="Total de Funcionamento" dataDxfId="627" totalsRowDxfId="626"/>
    <tableColumn id="2" name="ESTIMADO" totalsRowFunction="custom" dataDxfId="625" totalsRowDxfId="624">
      <calculatedColumnFormula>TabelaDeDespesasOperacionais7121462[[#This Row],[ESTIMADO]]+TabelaDeDespesasOperacionais712146278[[#This Row],[ESTIMADO]]</calculatedColumnFormula>
      <totalsRowFormula>SUBTOTAL(9,TabelaDeDespesasOperacionais7121462788290[ESTIMADO])</totalsRowFormula>
    </tableColumn>
    <tableColumn id="3" name="REAL" totalsRowFunction="custom" dataDxfId="623" totalsRowDxfId="622">
      <calculatedColumnFormula>TabelaDeDespesasOperacionais7121462[[#This Row],[REAL]]+TabelaDeDespesasOperacionais712146278[[#This Row],[REAL]]</calculatedColumnFormula>
      <totalsRowFormula>SUBTOTAL(9,TabelaDeDespesasOperacionais7121462788290[REAL])</totalsRowFormula>
    </tableColumn>
    <tableColumn id="5" name="5 Maiores Quantias" totalsRowFunction="custom" dataDxfId="621" totalsRowDxfId="620">
      <calculatedColumnFormula>TabelaDeDespesasOperacionais7121462788290[[#This Row],[REAL]]+(10^-6)*ROW(TabelaDeDespesasOperacionais7121462788290[[#This Row],[REAL]])</calculatedColumnFormula>
      <totalsRowFormula>SUBTOTAL(9,TabelaDeDespesasOperacionais7121462788290[5 Maiores Quantias])</totalsRowFormula>
    </tableColumn>
    <tableColumn id="4" name="DIFERENÇA" totalsRowFunction="custom" dataDxfId="619" totalsRowDxfId="618">
      <calculatedColumnFormula>TabelaDeDespesasOperacionais7121462788290[[#This Row],[ESTIMADO]]-TabelaDeDespesasOperacionais7121462788290[[#This Row],[REAL]]</calculatedColumnFormula>
      <totalsRowFormula>SUBTOTAL(9,TabelaDeDespesasOperacionais7121462788290[DIFERENÇA])</totalsRowFormula>
    </tableColumn>
  </tableColumns>
  <tableStyleInfo name="Monthly Budget" showFirstColumn="0" showLastColumn="0" showRowStripes="0" showColumnStripes="0"/>
</table>
</file>

<file path=xl/tables/table18.xml><?xml version="1.0" encoding="utf-8"?>
<table xmlns="http://schemas.openxmlformats.org/spreadsheetml/2006/main" id="90" name="TabelaDeRendimentos8131563798391" displayName="TabelaDeRendimentos8131563798391" ref="B4:F9" totalsRowCount="1" headerRowDxfId="617" totalsRowDxfId="616">
  <autoFilter ref="B4:F8"/>
  <tableColumns count="5">
    <tableColumn id="1" name="RENDIMENTOS" totalsRowLabel="Total Rendimentos" dataDxfId="615" totalsRowDxfId="614"/>
    <tableColumn id="2" name="ESTIMADO" totalsRowFunction="custom" dataDxfId="613" totalsRowDxfId="612">
      <calculatedColumnFormula>TabelaDeRendimentos8131563[[#This Row],[ESTIMADO]]+TabelaDeRendimentos813156379[[#This Row],[ESTIMADO]]</calculatedColumnFormula>
      <totalsRowFormula>SUBTOTAL(9,TabelaDeRendimentos8131563798391[ESTIMADO])</totalsRowFormula>
    </tableColumn>
    <tableColumn id="3" name="REAL" totalsRowFunction="custom" dataDxfId="611" totalsRowDxfId="610">
      <calculatedColumnFormula>TabelaDeRendimentos8131563[[#This Row],[REAL]]+TabelaDeRendimentos813156379[[#This Row],[REAL]]</calculatedColumnFormula>
      <totalsRowFormula>SUBTOTAL(9,TabelaDeRendimentos8131563798391[REAL])</totalsRowFormula>
    </tableColumn>
    <tableColumn id="5" name="5 Maiores Quantias" totalsRowFunction="custom" dataDxfId="609" totalsRowDxfId="608">
      <calculatedColumnFormula>TabelaDeRendimentos8131563798391[[#This Row],[REAL]]+(10^-6)*ROW(TabelaDeRendimentos8131563798391[[#This Row],[REAL]])</calculatedColumnFormula>
      <totalsRowFormula>SUBTOTAL(9,TabelaDeRendimentos8131563798391[5 Maiores Quantias])</totalsRowFormula>
    </tableColumn>
    <tableColumn id="4" name="DIFERENÇA" totalsRowFunction="custom" dataDxfId="607" totalsRowDxfId="606">
      <calculatedColumnFormula>TabelaDeRendimentos8131563798391[[#This Row],[REAL]]-TabelaDeRendimentos8131563798391[[#This Row],[ESTIMADO]]</calculatedColumnFormula>
      <totalsRowFormula>SUBTOTAL(9,TabelaDeRendimentos8131563798391[DIFERENÇA])</totalsRowFormula>
    </tableColumn>
  </tableColumns>
  <tableStyleInfo name="Monthly Budget" showFirstColumn="0" showLastColumn="0" showRowStripes="0" showColumnStripes="0"/>
</table>
</file>

<file path=xl/tables/table19.xml><?xml version="1.0" encoding="utf-8"?>
<table xmlns="http://schemas.openxmlformats.org/spreadsheetml/2006/main" id="91" name="TabelaDeTotais9141664808492" displayName="TabelaDeTotais9141664808492" ref="H4:K7" totalsRowCount="1" headerRowDxfId="605" totalsRowDxfId="604">
  <autoFilter ref="H4:K6"/>
  <tableColumns count="4">
    <tableColumn id="1" name="TOTAL ORÇAMENTAL" totalsRowLabel="Balanço (Rendimento menos Despesas)" totalsRowDxfId="603"/>
    <tableColumn id="2" name="ESTIMADO" totalsRowFunction="custom" totalsRowDxfId="602">
      <totalsRowFormula>I5-I6</totalsRowFormula>
    </tableColumn>
    <tableColumn id="3" name="REAL" totalsRowFunction="custom" totalsRowDxfId="601">
      <totalsRowFormula>J5-J6</totalsRowFormula>
    </tableColumn>
    <tableColumn id="4" name="DIFERENÇA" totalsRowFunction="custom" totalsRowDxfId="600">
      <totalsRowFormula>TabelaDeTotais9141664808492[[#Totals],[REAL]]-TabelaDeTotais9141664808492[[#Totals],[ESTIMADO]]</totalsRowFormula>
    </tableColumn>
  </tableColumns>
  <tableStyleInfo name="Monthly Budget" showFirstColumn="0" showLastColumn="1" showRowStripes="0" showColumnStripes="0"/>
</table>
</file>

<file path=xl/tables/table2.xml><?xml version="1.0" encoding="utf-8"?>
<table xmlns="http://schemas.openxmlformats.org/spreadsheetml/2006/main" id="62" name="TabelaDeRendimentos8131563" displayName="TabelaDeRendimentos8131563" ref="B4:F9" totalsRowCount="1" headerRowDxfId="785" totalsRowDxfId="784">
  <autoFilter ref="B4:F8"/>
  <tableColumns count="5">
    <tableColumn id="1" name="RENDIMENTOS" totalsRowLabel="Total Rendimentos" dataDxfId="783" totalsRowDxfId="782"/>
    <tableColumn id="2" name="ESTIMADO" totalsRowFunction="custom" dataDxfId="781" totalsRowDxfId="780">
      <calculatedColumnFormula>TabelaDeRendimentos81315[[#This Row],[ESTIMADO]]+TabelaDeRendimentos8131519[[#This Row],[ESTIMADO]]+TabelaDeRendimentos813151923[[#This Row],[ESTIMADO]]</calculatedColumnFormula>
      <totalsRowFormula>SUBTOTAL(9,TabelaDeRendimentos8131563[ESTIMADO])</totalsRowFormula>
    </tableColumn>
    <tableColumn id="3" name="REAL" totalsRowFunction="custom" dataDxfId="779" totalsRowDxfId="778">
      <calculatedColumnFormula>TabelaDeRendimentos81315[[#This Row],[REAL]]+TabelaDeRendimentos8131519[[#This Row],[REAL]]+TabelaDeRendimentos813151923[[#This Row],[REAL]]</calculatedColumnFormula>
      <totalsRowFormula>SUBTOTAL(9,TabelaDeRendimentos8131563[REAL])</totalsRowFormula>
    </tableColumn>
    <tableColumn id="5" name="5 Maiores Quantias" totalsRowFunction="custom" dataDxfId="777" totalsRowDxfId="776">
      <calculatedColumnFormula>TabelaDeRendimentos8131563[[#This Row],[REAL]]+(10^-6)*ROW(TabelaDeRendimentos8131563[[#This Row],[REAL]])</calculatedColumnFormula>
      <totalsRowFormula>SUBTOTAL(9,TabelaDeRendimentos8131563[5 Maiores Quantias])</totalsRowFormula>
    </tableColumn>
    <tableColumn id="4" name="DIFERENÇA" totalsRowFunction="custom" dataDxfId="775" totalsRowDxfId="774">
      <calculatedColumnFormula>TabelaDeRendimentos8131563[[#This Row],[REAL]]-TabelaDeRendimentos8131563[[#This Row],[ESTIMADO]]</calculatedColumnFormula>
      <totalsRowFormula>SUBTOTAL(9,TabelaDeRendimentos8131563[DIFERENÇA])</totalsRowFormula>
    </tableColumn>
  </tableColumns>
  <tableStyleInfo name="Monthly Budget" showFirstColumn="0" showLastColumn="0" showRowStripes="0" showColumnStripes="0"/>
</table>
</file>

<file path=xl/tables/table20.xml><?xml version="1.0" encoding="utf-8"?>
<table xmlns="http://schemas.openxmlformats.org/spreadsheetml/2006/main" id="92" name="TabelaDeDespesasDePessoal11161865818593" displayName="TabelaDeDespesasDePessoal11161865818593" ref="B11:F16" totalsRowCount="1" headerRowDxfId="599" totalsRowDxfId="598">
  <autoFilter ref="B11:F15"/>
  <tableColumns count="5">
    <tableColumn id="1" name="DESPESAS COM PESSOAL" totalsRowLabel="Total de Pessoal" dataDxfId="597" totalsRowDxfId="596"/>
    <tableColumn id="2" name="ESTIMADO" totalsRowFunction="custom" dataDxfId="595" totalsRowDxfId="594">
      <calculatedColumnFormula>TabelaDeDespesasDePessoal11161865[[#This Row],[ESTIMADO]]+TabelaDeDespesasDePessoal1116186581[[#This Row],[ESTIMADO]]</calculatedColumnFormula>
      <totalsRowFormula>SUBTOTAL(9,TabelaDeDespesasDePessoal11161865818593[ESTIMADO])</totalsRowFormula>
    </tableColumn>
    <tableColumn id="3" name="REAL" totalsRowFunction="custom" dataDxfId="593" totalsRowDxfId="592">
      <calculatedColumnFormula>TabelaDeDespesasDePessoal11161865[[#This Row],[REAL]]+TabelaDeDespesasDePessoal1116186581[[#This Row],[REAL]]</calculatedColumnFormula>
      <totalsRowFormula>SUBTOTAL(9,TabelaDeDespesasDePessoal11161865818593[REAL])</totalsRowFormula>
    </tableColumn>
    <tableColumn id="4" name="5 Maiores Quantias" totalsRowFunction="custom" dataDxfId="591" totalsRowDxfId="590">
      <calculatedColumnFormula>TabelaDeDespesasDePessoal11161865818593[[#This Row],[REAL]]+(10^-6)*ROW(TabelaDeDespesasDePessoal11161865818593[[#This Row],[REAL]])</calculatedColumnFormula>
      <totalsRowFormula>SUBTOTAL(9,TabelaDeDespesasDePessoal11161865818593[5 Maiores Quantias])</totalsRowFormula>
    </tableColumn>
    <tableColumn id="5" name="DIFERENÇA" totalsRowFunction="custom" dataDxfId="589" totalsRowDxfId="588">
      <calculatedColumnFormula>TabelaDeDespesasDePessoal11161865818593[[#This Row],[ESTIMADO]]-TabelaDeDespesasDePessoal11161865818593[[#This Row],[REAL]]</calculatedColumnFormula>
      <totalsRowFormula>SUBTOTAL(9,TabelaDeDespesasDePessoal11161865818593[DIFERENÇA])</totalsRowFormula>
    </tableColumn>
  </tableColumns>
  <tableStyleInfo name="Monthly Budget" showFirstColumn="0" showLastColumn="0" showRowStripes="0" showColumnStripes="0"/>
</table>
</file>

<file path=xl/tables/table21.xml><?xml version="1.0" encoding="utf-8"?>
<table xmlns="http://schemas.openxmlformats.org/spreadsheetml/2006/main" id="69" name="TabelaDeDespesasOperacionais71214626670" displayName="TabelaDeDespesasOperacionais71214626670" ref="B18:F31" totalsRowCount="1" headerRowDxfId="587" totalsRowDxfId="586">
  <autoFilter ref="B18:F30"/>
  <sortState ref="B19:F39">
    <sortCondition ref="B16:B37"/>
  </sortState>
  <tableColumns count="5">
    <tableColumn id="1" name="DESPESAS COM FUNCIONAMENTO" totalsRowLabel="Total de Funcionamento" dataDxfId="585" totalsRowDxfId="584"/>
    <tableColumn id="2" name="ESTIMADO" totalsRowFunction="custom" dataDxfId="583" totalsRowDxfId="582">
      <calculatedColumnFormula>TabelaDeDespesasOperacionais71214627882[[#This Row],[ESTIMADO]]+TabelaDeDespesasOperacionais7121462788286[[#This Row],[ESTIMADO]]</calculatedColumnFormula>
      <totalsRowFormula>SUBTOTAL(9,TabelaDeDespesasOperacionais71214626670[ESTIMADO])</totalsRowFormula>
    </tableColumn>
    <tableColumn id="3" name="REAL" totalsRowFunction="custom" dataDxfId="581" totalsRowDxfId="580">
      <calculatedColumnFormula>TabelaDeDespesasOperacionais71214627882[[#This Row],[REAL]]+TabelaDeDespesasOperacionais7121462788286[[#This Row],[REAL]]</calculatedColumnFormula>
      <totalsRowFormula>SUBTOTAL(9,TabelaDeDespesasOperacionais71214626670[REAL])</totalsRowFormula>
    </tableColumn>
    <tableColumn id="5" name="5 Maiores Quantias" totalsRowFunction="custom" dataDxfId="579" totalsRowDxfId="578">
      <calculatedColumnFormula>TabelaDeDespesasOperacionais71214626670[[#This Row],[REAL]]+(10^-6)*ROW(TabelaDeDespesasOperacionais71214626670[[#This Row],[REAL]])</calculatedColumnFormula>
      <totalsRowFormula>SUBTOTAL(9,TabelaDeDespesasOperacionais71214626670[5 Maiores Quantias])</totalsRowFormula>
    </tableColumn>
    <tableColumn id="4" name="DIFERENÇA" totalsRowFunction="custom" dataDxfId="577" totalsRowDxfId="576">
      <calculatedColumnFormula>TabelaDeDespesasOperacionais71214626670[[#This Row],[ESTIMADO]]-TabelaDeDespesasOperacionais71214626670[[#This Row],[REAL]]</calculatedColumnFormula>
      <totalsRowFormula>SUBTOTAL(9,TabelaDeDespesasOperacionais71214626670[DIFERENÇA])</totalsRowFormula>
    </tableColumn>
  </tableColumns>
  <tableStyleInfo name="Monthly Budget" showFirstColumn="0" showLastColumn="0" showRowStripes="0" showColumnStripes="0"/>
</table>
</file>

<file path=xl/tables/table22.xml><?xml version="1.0" encoding="utf-8"?>
<table xmlns="http://schemas.openxmlformats.org/spreadsheetml/2006/main" id="70" name="TabelaDeRendimentos81315636771" displayName="TabelaDeRendimentos81315636771" ref="B4:F9" totalsRowCount="1" headerRowDxfId="575" totalsRowDxfId="574">
  <autoFilter ref="B4:F8"/>
  <tableColumns count="5">
    <tableColumn id="1" name="RENDIMENTOS" totalsRowLabel="Total Rendimentos" dataDxfId="573" totalsRowDxfId="572"/>
    <tableColumn id="2" name="ESTIMADO" totalsRowFunction="custom" dataDxfId="571" totalsRowDxfId="570">
      <calculatedColumnFormula>TabelaDeRendimentos81315637983[[#This Row],[ESTIMADO]]+TabelaDeRendimentos8131563798387[[#This Row],[ESTIMADO]]</calculatedColumnFormula>
      <totalsRowFormula>SUBTOTAL(9,TabelaDeRendimentos81315636771[ESTIMADO])</totalsRowFormula>
    </tableColumn>
    <tableColumn id="3" name="REAL" totalsRowFunction="custom" dataDxfId="569" totalsRowDxfId="568">
      <calculatedColumnFormula>TabelaDeRendimentos81315637983[[#This Row],[REAL]]+TabelaDeRendimentos8131563798387[[#This Row],[REAL]]</calculatedColumnFormula>
      <totalsRowFormula>SUBTOTAL(9,TabelaDeRendimentos81315636771[REAL])</totalsRowFormula>
    </tableColumn>
    <tableColumn id="5" name="5 Maiores Quantias" totalsRowFunction="custom" dataDxfId="567" totalsRowDxfId="566">
      <calculatedColumnFormula>TabelaDeRendimentos81315636771[[#This Row],[REAL]]+(10^-6)*ROW(TabelaDeRendimentos81315636771[[#This Row],[REAL]])</calculatedColumnFormula>
      <totalsRowFormula>SUBTOTAL(9,TabelaDeRendimentos81315636771[5 Maiores Quantias])</totalsRowFormula>
    </tableColumn>
    <tableColumn id="4" name="DIFERENÇA" totalsRowFunction="custom" dataDxfId="565" totalsRowDxfId="564">
      <calculatedColumnFormula>TabelaDeRendimentos81315636771[[#This Row],[REAL]]-TabelaDeRendimentos81315636771[[#This Row],[ESTIMADO]]</calculatedColumnFormula>
      <totalsRowFormula>SUBTOTAL(9,TabelaDeRendimentos81315636771[DIFERENÇA])</totalsRowFormula>
    </tableColumn>
  </tableColumns>
  <tableStyleInfo name="Monthly Budget" showFirstColumn="0" showLastColumn="0" showRowStripes="0" showColumnStripes="0"/>
</table>
</file>

<file path=xl/tables/table23.xml><?xml version="1.0" encoding="utf-8"?>
<table xmlns="http://schemas.openxmlformats.org/spreadsheetml/2006/main" id="71" name="TabelaDeTotais91416646872" displayName="TabelaDeTotais91416646872" ref="H4:K7" totalsRowCount="1" headerRowDxfId="563" totalsRowDxfId="562">
  <autoFilter ref="H4:K6"/>
  <tableColumns count="4">
    <tableColumn id="1" name="TOTAL ORÇAMENTAL" totalsRowLabel="Balanço (Rendimento menos Despesas)" totalsRowDxfId="561"/>
    <tableColumn id="2" name="ESTIMADO" totalsRowFunction="custom" totalsRowDxfId="560">
      <totalsRowFormula>I5-I6</totalsRowFormula>
    </tableColumn>
    <tableColumn id="3" name="REAL" totalsRowFunction="custom" totalsRowDxfId="559">
      <totalsRowFormula>J5-J6</totalsRowFormula>
    </tableColumn>
    <tableColumn id="4" name="DIFERENÇA" totalsRowFunction="custom" totalsRowDxfId="558">
      <totalsRowFormula>TabelaDeTotais91416646872[[#Totals],[REAL]]-TabelaDeTotais91416646872[[#Totals],[ESTIMADO]]</totalsRowFormula>
    </tableColumn>
  </tableColumns>
  <tableStyleInfo name="Monthly Budget" showFirstColumn="0" showLastColumn="1" showRowStripes="0" showColumnStripes="0"/>
</table>
</file>

<file path=xl/tables/table24.xml><?xml version="1.0" encoding="utf-8"?>
<table xmlns="http://schemas.openxmlformats.org/spreadsheetml/2006/main" id="72" name="TabelaDeDespesasDePessoal111618656973" displayName="TabelaDeDespesasDePessoal111618656973" ref="B11:F16" totalsRowCount="1" headerRowDxfId="557" totalsRowDxfId="556">
  <autoFilter ref="B11:F15"/>
  <tableColumns count="5">
    <tableColumn id="1" name="DESPESAS COM PESSOAL" totalsRowLabel="Total de Pessoal" dataDxfId="555" totalsRowDxfId="554"/>
    <tableColumn id="2" name="ESTIMADO" totalsRowFunction="custom" dataDxfId="553" totalsRowDxfId="552">
      <calculatedColumnFormula>TabelaDeDespesasDePessoal111618658185[[#This Row],[ESTIMADO]]+TabelaDeDespesasDePessoal11161865818589[[#This Row],[ESTIMADO]]</calculatedColumnFormula>
      <totalsRowFormula>SUBTOTAL(9,TabelaDeDespesasDePessoal111618656973[ESTIMADO])</totalsRowFormula>
    </tableColumn>
    <tableColumn id="3" name="REAL" totalsRowFunction="custom" dataDxfId="551" totalsRowDxfId="550">
      <calculatedColumnFormula>TabelaDeDespesasDePessoal111618658185[[#This Row],[REAL]]+TabelaDeDespesasDePessoal11161865818589[[#This Row],[REAL]]</calculatedColumnFormula>
      <totalsRowFormula>SUBTOTAL(9,TabelaDeDespesasDePessoal111618656973[REAL])</totalsRowFormula>
    </tableColumn>
    <tableColumn id="4" name="5 Maiores Quantias" totalsRowFunction="custom" dataDxfId="549" totalsRowDxfId="548">
      <calculatedColumnFormula>TabelaDeDespesasDePessoal111618656973[[#This Row],[REAL]]+(10^-6)*ROW(TabelaDeDespesasDePessoal111618656973[[#This Row],[REAL]])</calculatedColumnFormula>
      <totalsRowFormula>SUBTOTAL(9,TabelaDeDespesasDePessoal111618656973[5 Maiores Quantias])</totalsRowFormula>
    </tableColumn>
    <tableColumn id="5" name="DIFERENÇA" totalsRowFunction="custom" dataDxfId="547" totalsRowDxfId="546">
      <calculatedColumnFormula>TabelaDeDespesasDePessoal111618656973[[#This Row],[ESTIMADO]]-TabelaDeDespesasDePessoal111618656973[[#This Row],[REAL]]</calculatedColumnFormula>
      <totalsRowFormula>SUBTOTAL(9,TabelaDeDespesasDePessoal111618656973[DIFERENÇA])</totalsRowFormula>
    </tableColumn>
  </tableColumns>
  <tableStyleInfo name="Monthly Budget" showFirstColumn="0" showLastColumn="0" showRowStripes="0" showColumnStripes="0"/>
</table>
</file>

<file path=xl/tables/table25.xml><?xml version="1.0" encoding="utf-8"?>
<table xmlns="http://schemas.openxmlformats.org/spreadsheetml/2006/main" id="73" name="TabelaDeDespesasOperacionais7121462667074" displayName="TabelaDeDespesasOperacionais7121462667074" ref="B18:F31" totalsRowCount="1" headerRowDxfId="545" totalsRowDxfId="544">
  <autoFilter ref="B18:F30"/>
  <sortState ref="B19:F39">
    <sortCondition ref="B16:B37"/>
  </sortState>
  <tableColumns count="5">
    <tableColumn id="1" name="DESPESAS COM FUNCIONAMENTO" totalsRowLabel="Total de Funcionamento" dataDxfId="543" totalsRowDxfId="542"/>
    <tableColumn id="2" name="ESTIMADO" totalsRowFunction="custom" dataDxfId="541" totalsRowDxfId="540">
      <calculatedColumnFormula>TabelaDeDespesasOperacionais7121462788290[[#This Row],[ESTIMADO]]+TabelaDeDespesasOperacionais71214626670[[#This Row],[ESTIMADO]]</calculatedColumnFormula>
      <totalsRowFormula>SUBTOTAL(9,TabelaDeDespesasOperacionais7121462667074[ESTIMADO])</totalsRowFormula>
    </tableColumn>
    <tableColumn id="3" name="REAL" totalsRowFunction="custom" dataDxfId="539" totalsRowDxfId="538">
      <calculatedColumnFormula>TabelaDeDespesasOperacionais71214627882[[#This Row],[REAL]]+TabelaDeDespesasOperacionais7121462788286[[#This Row],[REAL]]</calculatedColumnFormula>
      <totalsRowFormula>SUBTOTAL(9,TabelaDeDespesasOperacionais7121462667074[REAL])</totalsRowFormula>
    </tableColumn>
    <tableColumn id="5" name="5 Maiores Quantias" totalsRowFunction="custom" dataDxfId="537" totalsRowDxfId="536">
      <calculatedColumnFormula>TabelaDeDespesasOperacionais7121462667074[[#This Row],[REAL]]+(10^-6)*ROW(TabelaDeDespesasOperacionais7121462667074[[#This Row],[REAL]])</calculatedColumnFormula>
      <totalsRowFormula>SUBTOTAL(9,TabelaDeDespesasOperacionais7121462667074[5 Maiores Quantias])</totalsRowFormula>
    </tableColumn>
    <tableColumn id="4" name="DIFERENÇA" totalsRowFunction="custom" dataDxfId="535" totalsRowDxfId="534">
      <calculatedColumnFormula>TabelaDeDespesasOperacionais7121462667074[[#This Row],[ESTIMADO]]-TabelaDeDespesasOperacionais7121462667074[[#This Row],[REAL]]</calculatedColumnFormula>
      <totalsRowFormula>SUBTOTAL(9,TabelaDeDespesasOperacionais7121462667074[DIFERENÇA])</totalsRowFormula>
    </tableColumn>
  </tableColumns>
  <tableStyleInfo name="Monthly Budget" showFirstColumn="0" showLastColumn="0" showRowStripes="0" showColumnStripes="0"/>
</table>
</file>

<file path=xl/tables/table26.xml><?xml version="1.0" encoding="utf-8"?>
<table xmlns="http://schemas.openxmlformats.org/spreadsheetml/2006/main" id="74" name="TabelaDeRendimentos8131563677175" displayName="TabelaDeRendimentos8131563677175" ref="B4:F9" totalsRowCount="1" headerRowDxfId="533" totalsRowDxfId="532">
  <autoFilter ref="B4:F8"/>
  <tableColumns count="5">
    <tableColumn id="1" name="RENDIMENTOS" totalsRowLabel="Total Rendimentos" dataDxfId="531" totalsRowDxfId="530"/>
    <tableColumn id="2" name="ESTIMADO" totalsRowFunction="custom" dataDxfId="529" totalsRowDxfId="528">
      <calculatedColumnFormula>TabelaDeRendimentos8131563798391[[#This Row],[ESTIMADO]]+TabelaDeRendimentos81315636771[[#This Row],[ESTIMADO]]</calculatedColumnFormula>
      <totalsRowFormula>SUBTOTAL(9,TabelaDeRendimentos8131563677175[ESTIMADO])</totalsRowFormula>
    </tableColumn>
    <tableColumn id="3" name="REAL" totalsRowFunction="custom" dataDxfId="527" totalsRowDxfId="526">
      <calculatedColumnFormula>TabelaDeRendimentos8131563798391[[#This Row],[REAL]]+TabelaDeRendimentos81315636771[[#This Row],[REAL]]</calculatedColumnFormula>
      <totalsRowFormula>SUBTOTAL(9,TabelaDeRendimentos8131563677175[REAL])</totalsRowFormula>
    </tableColumn>
    <tableColumn id="5" name="5 Maiores Quantias" totalsRowFunction="custom" dataDxfId="525" totalsRowDxfId="524">
      <calculatedColumnFormula>TabelaDeRendimentos8131563677175[[#This Row],[REAL]]+(10^-6)*ROW(TabelaDeRendimentos8131563677175[[#This Row],[REAL]])</calculatedColumnFormula>
      <totalsRowFormula>SUBTOTAL(9,TabelaDeRendimentos8131563677175[5 Maiores Quantias])</totalsRowFormula>
    </tableColumn>
    <tableColumn id="4" name="DIFERENÇA" totalsRowFunction="custom" dataDxfId="523" totalsRowDxfId="522">
      <calculatedColumnFormula>TabelaDeRendimentos8131563677175[[#This Row],[REAL]]-TabelaDeRendimentos8131563677175[[#This Row],[ESTIMADO]]</calculatedColumnFormula>
      <totalsRowFormula>SUBTOTAL(9,TabelaDeRendimentos8131563677175[DIFERENÇA])</totalsRowFormula>
    </tableColumn>
  </tableColumns>
  <tableStyleInfo name="Monthly Budget" showFirstColumn="0" showLastColumn="0" showRowStripes="0" showColumnStripes="0"/>
</table>
</file>

<file path=xl/tables/table27.xml><?xml version="1.0" encoding="utf-8"?>
<table xmlns="http://schemas.openxmlformats.org/spreadsheetml/2006/main" id="75" name="TabelaDeTotais9141664687276" displayName="TabelaDeTotais9141664687276" ref="H4:K7" totalsRowCount="1" headerRowDxfId="521" totalsRowDxfId="520">
  <autoFilter ref="H4:K6"/>
  <tableColumns count="4">
    <tableColumn id="1" name="TOTAL ORÇAMENTAL" totalsRowLabel="Balanço (Rendimento menos Despesas)" totalsRowDxfId="519"/>
    <tableColumn id="2" name="ESTIMADO" totalsRowFunction="custom" totalsRowDxfId="518">
      <totalsRowFormula>I5-I6</totalsRowFormula>
    </tableColumn>
    <tableColumn id="3" name="REAL" totalsRowFunction="custom" totalsRowDxfId="517">
      <totalsRowFormula>J5-J6</totalsRowFormula>
    </tableColumn>
    <tableColumn id="4" name="DIFERENÇA" totalsRowFunction="custom" totalsRowDxfId="516">
      <totalsRowFormula>TabelaDeTotais9141664687276[[#Totals],[REAL]]-TabelaDeTotais9141664687276[[#Totals],[ESTIMADO]]</totalsRowFormula>
    </tableColumn>
  </tableColumns>
  <tableStyleInfo name="Monthly Budget" showFirstColumn="0" showLastColumn="1" showRowStripes="0" showColumnStripes="0"/>
</table>
</file>

<file path=xl/tables/table28.xml><?xml version="1.0" encoding="utf-8"?>
<table xmlns="http://schemas.openxmlformats.org/spreadsheetml/2006/main" id="76" name="TabelaDeDespesasDePessoal11161865697377" displayName="TabelaDeDespesasDePessoal11161865697377" ref="B11:F16" totalsRowCount="1" headerRowDxfId="515" totalsRowDxfId="514">
  <autoFilter ref="B11:F15"/>
  <tableColumns count="5">
    <tableColumn id="1" name="DESPESAS COM PESSOAL" totalsRowLabel="Total de Pessoal" dataDxfId="513" totalsRowDxfId="512"/>
    <tableColumn id="2" name="ESTIMADO" totalsRowFunction="custom" dataDxfId="511" totalsRowDxfId="510">
      <calculatedColumnFormula>TabelaDeDespesasDePessoal11161865818593[[#This Row],[ESTIMADO]]+TabelaDeDespesasDePessoal111618656973[[#This Row],[ESTIMADO]]</calculatedColumnFormula>
      <totalsRowFormula>SUBTOTAL(9,TabelaDeDespesasDePessoal11161865697377[ESTIMADO])</totalsRowFormula>
    </tableColumn>
    <tableColumn id="3" name="REAL" totalsRowFunction="custom" dataDxfId="509" totalsRowDxfId="508">
      <calculatedColumnFormula>TabelaDeDespesasDePessoal11161865818593[[#This Row],[REAL]]+TabelaDeDespesasDePessoal111618656973[[#This Row],[REAL]]</calculatedColumnFormula>
      <totalsRowFormula>SUBTOTAL(9,TabelaDeDespesasDePessoal11161865697377[REAL])</totalsRowFormula>
    </tableColumn>
    <tableColumn id="4" name="5 Maiores Quantias" totalsRowFunction="custom" dataDxfId="507" totalsRowDxfId="506">
      <calculatedColumnFormula>TabelaDeDespesasDePessoal11161865697377[[#This Row],[REAL]]+(10^-6)*ROW(TabelaDeDespesasDePessoal11161865697377[[#This Row],[REAL]])</calculatedColumnFormula>
      <totalsRowFormula>SUBTOTAL(9,TabelaDeDespesasDePessoal11161865697377[5 Maiores Quantias])</totalsRowFormula>
    </tableColumn>
    <tableColumn id="5" name="DIFERENÇA" totalsRowFunction="custom" dataDxfId="505" totalsRowDxfId="504">
      <calculatedColumnFormula>TabelaDeDespesasDePessoal11161865697377[[#This Row],[ESTIMADO]]-TabelaDeDespesasDePessoal11161865697377[[#This Row],[REAL]]</calculatedColumnFormula>
      <totalsRowFormula>SUBTOTAL(9,TabelaDeDespesasDePessoal11161865697377[DIFERENÇA])</totalsRowFormula>
    </tableColumn>
  </tableColumns>
  <tableStyleInfo name="Monthly Budget" showFirstColumn="0" showLastColumn="0" showRowStripes="0" showColumnStripes="0"/>
</table>
</file>

<file path=xl/tables/table29.xml><?xml version="1.0" encoding="utf-8"?>
<table xmlns="http://schemas.openxmlformats.org/spreadsheetml/2006/main" id="13" name="TabelaDeDespesasOperacionais71214" displayName="TabelaDeDespesasOperacionais71214" ref="B18:F31" totalsRowCount="1" headerRowDxfId="503" totalsRowDxfId="502">
  <autoFilter ref="B18:F30"/>
  <sortState ref="B25:F45">
    <sortCondition ref="B16:B37"/>
  </sortState>
  <tableColumns count="5">
    <tableColumn id="1" name="DESPESAS COM FUNCIONAMENTO" totalsRowLabel="Total de Funcionamento" dataDxfId="501" totalsRowDxfId="500"/>
    <tableColumn id="2" name="ESTIMADO" totalsRowFunction="custom" dataDxfId="499" totalsRowDxfId="498">
      <totalsRowFormula>SUBTOTAL(9,TabelaDeDespesasOperacionais71214[ESTIMADO])</totalsRowFormula>
    </tableColumn>
    <tableColumn id="3" name="REAL" totalsRowFunction="custom" dataDxfId="497" totalsRowDxfId="496">
      <totalsRowFormula>SUBTOTAL(9,TabelaDeDespesasOperacionais71214[REAL])</totalsRowFormula>
    </tableColumn>
    <tableColumn id="5" name="5 Maiores Quantias" totalsRowFunction="custom" dataDxfId="495" totalsRowDxfId="494">
      <calculatedColumnFormula>TabelaDeDespesasOperacionais71214[[#This Row],[REAL]]+(10^-6)*ROW(TabelaDeDespesasOperacionais71214[[#This Row],[REAL]])</calculatedColumnFormula>
      <totalsRowFormula>SUBTOTAL(9,TabelaDeDespesasOperacionais71214[5 Maiores Quantias])</totalsRowFormula>
    </tableColumn>
    <tableColumn id="4" name="DIFERENÇA" totalsRowFunction="custom" dataDxfId="493" totalsRowDxfId="492">
      <calculatedColumnFormula>TabelaDeDespesasOperacionais71214[[#This Row],[ESTIMADO]]-TabelaDeDespesasOperacionais71214[[#This Row],[REAL]]</calculatedColumnFormula>
      <totalsRowFormula>SUBTOTAL(9,TabelaDeDespesasOperacionais71214[DIFERENÇA])</totalsRowFormula>
    </tableColumn>
  </tableColumns>
  <tableStyleInfo name="Monthly Budget" showFirstColumn="0" showLastColumn="0" showRowStripes="0" showColumnStripes="0"/>
</table>
</file>

<file path=xl/tables/table3.xml><?xml version="1.0" encoding="utf-8"?>
<table xmlns="http://schemas.openxmlformats.org/spreadsheetml/2006/main" id="63" name="TabelaDeTotais9141664" displayName="TabelaDeTotais9141664" ref="H4:K7" totalsRowCount="1" headerRowDxfId="773" totalsRowDxfId="772">
  <autoFilter ref="H4:K6"/>
  <tableColumns count="4">
    <tableColumn id="1" name="TOTAL ORÇAMENTAL" totalsRowLabel="Balanço (Rendimento menos Despesas)" totalsRowDxfId="771"/>
    <tableColumn id="2" name="ESTIMADO" totalsRowFunction="custom" totalsRowDxfId="770">
      <totalsRowFormula>I5-I6</totalsRowFormula>
    </tableColumn>
    <tableColumn id="3" name="REAL" totalsRowFunction="custom" totalsRowDxfId="769">
      <totalsRowFormula>J5-J6</totalsRowFormula>
    </tableColumn>
    <tableColumn id="4" name="DIFERENÇA" totalsRowFunction="custom" totalsRowDxfId="768">
      <totalsRowFormula>TabelaDeTotais9141664[[#Totals],[REAL]]-TabelaDeTotais9141664[[#Totals],[ESTIMADO]]</totalsRowFormula>
    </tableColumn>
  </tableColumns>
  <tableStyleInfo name="Monthly Budget" showFirstColumn="0" showLastColumn="1" showRowStripes="0" showColumnStripes="0"/>
</table>
</file>

<file path=xl/tables/table30.xml><?xml version="1.0" encoding="utf-8"?>
<table xmlns="http://schemas.openxmlformats.org/spreadsheetml/2006/main" id="14" name="TabelaDeRendimentos81315" displayName="TabelaDeRendimentos81315" ref="B4:F9" totalsRowCount="1" headerRowDxfId="491" totalsRowDxfId="490">
  <autoFilter ref="B4:F8"/>
  <tableColumns count="5">
    <tableColumn id="1" name="RENDIMENTOS" totalsRowLabel="Total Rendimentos" dataDxfId="489" totalsRowDxfId="488"/>
    <tableColumn id="2" name="ESTIMADO" totalsRowFunction="custom" dataDxfId="487" totalsRowDxfId="486">
      <totalsRowFormula>SUBTOTAL(9,TabelaDeRendimentos81315[ESTIMADO])</totalsRowFormula>
    </tableColumn>
    <tableColumn id="3" name="REAL" totalsRowFunction="custom" dataDxfId="485" totalsRowDxfId="484">
      <totalsRowFormula>SUBTOTAL(9,TabelaDeRendimentos81315[REAL])</totalsRowFormula>
    </tableColumn>
    <tableColumn id="5" name="5 Maiores Quantias" totalsRowFunction="custom" dataDxfId="483" totalsRowDxfId="482">
      <calculatedColumnFormula>TabelaDeRendimentos81315[[#This Row],[REAL]]+(10^-6)*ROW(TabelaDeRendimentos81315[[#This Row],[REAL]])</calculatedColumnFormula>
      <totalsRowFormula>SUBTOTAL(9,TabelaDeRendimentos81315[5 Maiores Quantias])</totalsRowFormula>
    </tableColumn>
    <tableColumn id="4" name="DIFERENÇA" totalsRowFunction="custom" dataDxfId="481" totalsRowDxfId="480">
      <calculatedColumnFormula>TabelaDeRendimentos81315[[#This Row],[REAL]]-TabelaDeRendimentos81315[[#This Row],[ESTIMADO]]</calculatedColumnFormula>
      <totalsRowFormula>SUBTOTAL(9,TabelaDeRendimentos81315[DIFERENÇA])</totalsRowFormula>
    </tableColumn>
  </tableColumns>
  <tableStyleInfo name="Monthly Budget" showFirstColumn="0" showLastColumn="0" showRowStripes="0" showColumnStripes="0"/>
</table>
</file>

<file path=xl/tables/table31.xml><?xml version="1.0" encoding="utf-8"?>
<table xmlns="http://schemas.openxmlformats.org/spreadsheetml/2006/main" id="15" name="TabelaDeTotais91416" displayName="TabelaDeTotais91416" ref="H4:K7" totalsRowCount="1" headerRowDxfId="479" totalsRowDxfId="478">
  <autoFilter ref="H4:K6"/>
  <tableColumns count="4">
    <tableColumn id="1" name="TOTAL ORÇAMENTAL" totalsRowLabel="Balanço (Rendimento menos Despesas)" totalsRowDxfId="477"/>
    <tableColumn id="2" name="ESTIMADO" totalsRowFunction="custom" totalsRowDxfId="476">
      <totalsRowFormula>I5-I6</totalsRowFormula>
    </tableColumn>
    <tableColumn id="3" name="REAL" totalsRowFunction="custom" totalsRowDxfId="475">
      <totalsRowFormula>J5-J6</totalsRowFormula>
    </tableColumn>
    <tableColumn id="4" name="DIFERENÇA" totalsRowFunction="custom" totalsRowDxfId="474">
      <totalsRowFormula>TabelaDeTotais91416[[#Totals],[REAL]]-TabelaDeTotais91416[[#Totals],[ESTIMADO]]</totalsRowFormula>
    </tableColumn>
  </tableColumns>
  <tableStyleInfo name="Monthly Budget" showFirstColumn="0" showLastColumn="1" showRowStripes="0" showColumnStripes="0"/>
</table>
</file>

<file path=xl/tables/table32.xml><?xml version="1.0" encoding="utf-8"?>
<table xmlns="http://schemas.openxmlformats.org/spreadsheetml/2006/main" id="17" name="TabelaDeDespesasDePessoal111618" displayName="TabelaDeDespesasDePessoal111618" ref="B11:F16" totalsRowCount="1" headerRowDxfId="473" totalsRowDxfId="472">
  <autoFilter ref="B11:F15"/>
  <tableColumns count="5">
    <tableColumn id="1" name="DESPESAS COM PESSOAL" totalsRowLabel="Total de Pessoal" dataDxfId="471" totalsRowDxfId="470"/>
    <tableColumn id="2" name="ESTIMADO" totalsRowFunction="custom" dataDxfId="469" totalsRowDxfId="468">
      <totalsRowFormula>SUBTOTAL(9,TabelaDeDespesasDePessoal111618[ESTIMADO])</totalsRowFormula>
    </tableColumn>
    <tableColumn id="3" name="REAL" totalsRowFunction="custom" dataDxfId="467" totalsRowDxfId="466">
      <totalsRowFormula>SUBTOTAL(9,TabelaDeDespesasDePessoal111618[REAL])</totalsRowFormula>
    </tableColumn>
    <tableColumn id="4" name="5 Maiores Quantias" totalsRowFunction="custom" dataDxfId="465" totalsRowDxfId="464">
      <calculatedColumnFormula>TabelaDeDespesasDePessoal111618[[#This Row],[REAL]]+(10^-6)*ROW(TabelaDeDespesasDePessoal111618[[#This Row],[REAL]])</calculatedColumnFormula>
      <totalsRowFormula>SUBTOTAL(9,TabelaDeDespesasDePessoal111618[5 Maiores Quantias])</totalsRowFormula>
    </tableColumn>
    <tableColumn id="5" name="DIFERENÇA" totalsRowFunction="custom" dataDxfId="463" totalsRowDxfId="462">
      <calculatedColumnFormula>TabelaDeDespesasDePessoal111618[[#This Row],[ESTIMADO]]-TabelaDeDespesasDePessoal111618[[#This Row],[REAL]]</calculatedColumnFormula>
      <totalsRowFormula>SUBTOTAL(9,TabelaDeDespesasDePessoal111618[DIFERENÇA])</totalsRowFormula>
    </tableColumn>
  </tableColumns>
  <tableStyleInfo name="Monthly Budget" showFirstColumn="0" showLastColumn="0" showRowStripes="0" showColumnStripes="0"/>
</table>
</file>

<file path=xl/tables/table33.xml><?xml version="1.0" encoding="utf-8"?>
<table xmlns="http://schemas.openxmlformats.org/spreadsheetml/2006/main" id="16" name="TabelaDeDespesasOperacionais7121417" displayName="TabelaDeDespesasOperacionais7121417" ref="B18:F31" totalsRowCount="1" headerRowDxfId="461" totalsRowDxfId="460">
  <autoFilter ref="B18:F30"/>
  <sortState ref="B19:F39">
    <sortCondition ref="B16:B37"/>
  </sortState>
  <tableColumns count="5">
    <tableColumn id="1" name="DESPESAS COM FUNCIONAMENTO" totalsRowLabel="Total de Funcionamento" dataDxfId="459" totalsRowDxfId="458"/>
    <tableColumn id="2" name="ESTIMADO" totalsRowFunction="custom" dataDxfId="457" totalsRowDxfId="456">
      <totalsRowFormula>SUBTOTAL(9,TabelaDeDespesasOperacionais7121417[ESTIMADO])</totalsRowFormula>
    </tableColumn>
    <tableColumn id="3" name="REAL" totalsRowFunction="custom" dataDxfId="455" totalsRowDxfId="454">
      <totalsRowFormula>SUBTOTAL(9,TabelaDeDespesasOperacionais7121417[REAL])</totalsRowFormula>
    </tableColumn>
    <tableColumn id="5" name="5 Maiores Quantias" totalsRowFunction="custom" dataDxfId="453" totalsRowDxfId="452">
      <calculatedColumnFormula>TabelaDeDespesasOperacionais7121417[[#This Row],[REAL]]+(10^-6)*ROW(TabelaDeDespesasOperacionais7121417[[#This Row],[REAL]])</calculatedColumnFormula>
      <totalsRowFormula>SUBTOTAL(9,TabelaDeDespesasOperacionais7121417[5 Maiores Quantias])</totalsRowFormula>
    </tableColumn>
    <tableColumn id="4" name="DIFERENÇA" totalsRowFunction="custom" dataDxfId="451" totalsRowDxfId="450">
      <calculatedColumnFormula>TabelaDeDespesasOperacionais7121417[[#This Row],[ESTIMADO]]-TabelaDeDespesasOperacionais7121417[[#This Row],[REAL]]</calculatedColumnFormula>
      <totalsRowFormula>SUBTOTAL(9,TabelaDeDespesasOperacionais7121417[DIFERENÇA])</totalsRowFormula>
    </tableColumn>
  </tableColumns>
  <tableStyleInfo name="Monthly Budget" showFirstColumn="0" showLastColumn="0" showRowStripes="0" showColumnStripes="0"/>
</table>
</file>

<file path=xl/tables/table34.xml><?xml version="1.0" encoding="utf-8"?>
<table xmlns="http://schemas.openxmlformats.org/spreadsheetml/2006/main" id="18" name="TabelaDeRendimentos8131519" displayName="TabelaDeRendimentos8131519" ref="B4:F9" totalsRowCount="1" headerRowDxfId="449" totalsRowDxfId="448">
  <autoFilter ref="B4:F8"/>
  <tableColumns count="5">
    <tableColumn id="1" name="RENDIMENTOS" totalsRowLabel="Total Rendimentos" dataDxfId="447" totalsRowDxfId="446"/>
    <tableColumn id="2" name="ESTIMADO" totalsRowFunction="custom" dataDxfId="445" totalsRowDxfId="444">
      <totalsRowFormula>SUBTOTAL(9,TabelaDeRendimentos8131519[ESTIMADO])</totalsRowFormula>
    </tableColumn>
    <tableColumn id="3" name="REAL" totalsRowFunction="custom" dataDxfId="443" totalsRowDxfId="442">
      <totalsRowFormula>SUBTOTAL(9,TabelaDeRendimentos8131519[REAL])</totalsRowFormula>
    </tableColumn>
    <tableColumn id="5" name="5 Maiores Quantias" totalsRowFunction="custom" dataDxfId="441" totalsRowDxfId="440">
      <calculatedColumnFormula>TabelaDeRendimentos8131519[[#This Row],[REAL]]+(10^-6)*ROW(TabelaDeRendimentos8131519[[#This Row],[REAL]])</calculatedColumnFormula>
      <totalsRowFormula>SUBTOTAL(9,TabelaDeRendimentos8131519[5 Maiores Quantias])</totalsRowFormula>
    </tableColumn>
    <tableColumn id="4" name="DIFERENÇA" totalsRowFunction="custom" dataDxfId="439" totalsRowDxfId="438">
      <calculatedColumnFormula>TabelaDeRendimentos8131519[[#This Row],[REAL]]-TabelaDeRendimentos8131519[[#This Row],[ESTIMADO]]</calculatedColumnFormula>
      <totalsRowFormula>SUBTOTAL(9,TabelaDeRendimentos8131519[DIFERENÇA])</totalsRowFormula>
    </tableColumn>
  </tableColumns>
  <tableStyleInfo name="Monthly Budget" showFirstColumn="0" showLastColumn="0" showRowStripes="0" showColumnStripes="0"/>
</table>
</file>

<file path=xl/tables/table35.xml><?xml version="1.0" encoding="utf-8"?>
<table xmlns="http://schemas.openxmlformats.org/spreadsheetml/2006/main" id="19" name="TabelaDeTotais9141620" displayName="TabelaDeTotais9141620" ref="H4:K7" totalsRowCount="1" headerRowDxfId="437" totalsRowDxfId="436">
  <autoFilter ref="H4:K6"/>
  <tableColumns count="4">
    <tableColumn id="1" name="TOTAL ORÇAMENTAL" totalsRowLabel="Balanço (Rendimento menos Despesas)" totalsRowDxfId="435"/>
    <tableColumn id="2" name="ESTIMADO" totalsRowFunction="custom" totalsRowDxfId="434">
      <totalsRowFormula>I5-I6</totalsRowFormula>
    </tableColumn>
    <tableColumn id="3" name="REAL" totalsRowFunction="custom" totalsRowDxfId="433">
      <totalsRowFormula>J5-J6</totalsRowFormula>
    </tableColumn>
    <tableColumn id="4" name="DIFERENÇA" totalsRowFunction="custom" totalsRowDxfId="432">
      <totalsRowFormula>TabelaDeTotais9141620[[#Totals],[REAL]]-TabelaDeTotais9141620[[#Totals],[ESTIMADO]]</totalsRowFormula>
    </tableColumn>
  </tableColumns>
  <tableStyleInfo name="Monthly Budget" showFirstColumn="0" showLastColumn="1" showRowStripes="0" showColumnStripes="0"/>
</table>
</file>

<file path=xl/tables/table36.xml><?xml version="1.0" encoding="utf-8"?>
<table xmlns="http://schemas.openxmlformats.org/spreadsheetml/2006/main" id="20" name="TabelaDeDespesasDePessoal11161821" displayName="TabelaDeDespesasDePessoal11161821" ref="B11:F16" totalsRowCount="1" headerRowDxfId="431" totalsRowDxfId="430">
  <autoFilter ref="B11:F15"/>
  <tableColumns count="5">
    <tableColumn id="1" name="DESPESAS COM PESSOAL" totalsRowLabel="Total de Pessoal" dataDxfId="429" totalsRowDxfId="428"/>
    <tableColumn id="2" name="ESTIMADO" totalsRowFunction="custom" dataDxfId="427" totalsRowDxfId="426">
      <totalsRowFormula>SUBTOTAL(9,TabelaDeDespesasDePessoal11161821[ESTIMADO])</totalsRowFormula>
    </tableColumn>
    <tableColumn id="3" name="REAL" totalsRowFunction="custom" dataDxfId="425" totalsRowDxfId="424">
      <totalsRowFormula>SUBTOTAL(9,TabelaDeDespesasDePessoal11161821[REAL])</totalsRowFormula>
    </tableColumn>
    <tableColumn id="4" name="5 Maiores Quantias" totalsRowFunction="custom" dataDxfId="423" totalsRowDxfId="422">
      <calculatedColumnFormula>TabelaDeDespesasDePessoal11161821[[#This Row],[REAL]]+(10^-6)*ROW(TabelaDeDespesasDePessoal11161821[[#This Row],[REAL]])</calculatedColumnFormula>
      <totalsRowFormula>SUBTOTAL(9,TabelaDeDespesasDePessoal11161821[5 Maiores Quantias])</totalsRowFormula>
    </tableColumn>
    <tableColumn id="5" name="DIFERENÇA" totalsRowFunction="custom" dataDxfId="421" totalsRowDxfId="420">
      <calculatedColumnFormula>TabelaDeDespesasDePessoal11161821[[#This Row],[ESTIMADO]]-TabelaDeDespesasDePessoal11161821[[#This Row],[REAL]]</calculatedColumnFormula>
      <totalsRowFormula>SUBTOTAL(9,TabelaDeDespesasDePessoal11161821[DIFERENÇA])</totalsRowFormula>
    </tableColumn>
  </tableColumns>
  <tableStyleInfo name="Monthly Budget" showFirstColumn="0" showLastColumn="0" showRowStripes="0" showColumnStripes="0"/>
</table>
</file>

<file path=xl/tables/table37.xml><?xml version="1.0" encoding="utf-8"?>
<table xmlns="http://schemas.openxmlformats.org/spreadsheetml/2006/main" id="21" name="TabelaDeDespesasOperacionais712141722" displayName="TabelaDeDespesasOperacionais712141722" ref="B18:F31" totalsRowCount="1" headerRowDxfId="419" totalsRowDxfId="418">
  <autoFilter ref="B18:F30"/>
  <sortState ref="B19:F39">
    <sortCondition ref="B16:B37"/>
  </sortState>
  <tableColumns count="5">
    <tableColumn id="1" name="DESPESAS COM FUNCIONAMENTO" totalsRowLabel="Total de Funcionamento" dataDxfId="417" totalsRowDxfId="416"/>
    <tableColumn id="2" name="ESTIMADO" totalsRowFunction="custom" dataDxfId="415" totalsRowDxfId="414">
      <totalsRowFormula>SUBTOTAL(9,TabelaDeDespesasOperacionais712141722[ESTIMADO])</totalsRowFormula>
    </tableColumn>
    <tableColumn id="3" name="REAL" totalsRowFunction="custom" dataDxfId="413" totalsRowDxfId="412">
      <totalsRowFormula>SUBTOTAL(9,TabelaDeDespesasOperacionais712141722[REAL])</totalsRowFormula>
    </tableColumn>
    <tableColumn id="5" name="5 Maiores Quantias" totalsRowFunction="custom" dataDxfId="411" totalsRowDxfId="410">
      <calculatedColumnFormula>TabelaDeDespesasOperacionais712141722[[#This Row],[REAL]]+(10^-6)*ROW(TabelaDeDespesasOperacionais712141722[[#This Row],[REAL]])</calculatedColumnFormula>
      <totalsRowFormula>SUBTOTAL(9,TabelaDeDespesasOperacionais712141722[5 Maiores Quantias])</totalsRowFormula>
    </tableColumn>
    <tableColumn id="4" name="DIFERENÇA" totalsRowFunction="custom" dataDxfId="409" totalsRowDxfId="408">
      <calculatedColumnFormula>TabelaDeDespesasOperacionais712141722[[#This Row],[ESTIMADO]]-TabelaDeDespesasOperacionais712141722[[#This Row],[REAL]]</calculatedColumnFormula>
      <totalsRowFormula>SUBTOTAL(9,TabelaDeDespesasOperacionais712141722[DIFERENÇA])</totalsRowFormula>
    </tableColumn>
  </tableColumns>
  <tableStyleInfo name="Monthly Budget" showFirstColumn="0" showLastColumn="0" showRowStripes="0" showColumnStripes="0"/>
</table>
</file>

<file path=xl/tables/table38.xml><?xml version="1.0" encoding="utf-8"?>
<table xmlns="http://schemas.openxmlformats.org/spreadsheetml/2006/main" id="22" name="TabelaDeRendimentos813151923" displayName="TabelaDeRendimentos813151923" ref="B4:F9" totalsRowCount="1" headerRowDxfId="407" totalsRowDxfId="406">
  <autoFilter ref="B4:F8"/>
  <tableColumns count="5">
    <tableColumn id="1" name="RENDIMENTOS" totalsRowLabel="Total Rendimentos" dataDxfId="405" totalsRowDxfId="404"/>
    <tableColumn id="2" name="ESTIMADO" totalsRowFunction="custom" dataDxfId="403" totalsRowDxfId="402">
      <totalsRowFormula>SUBTOTAL(9,TabelaDeRendimentos813151923[ESTIMADO])</totalsRowFormula>
    </tableColumn>
    <tableColumn id="3" name="REAL" totalsRowFunction="custom" dataDxfId="401" totalsRowDxfId="400">
      <totalsRowFormula>SUBTOTAL(9,TabelaDeRendimentos813151923[REAL])</totalsRowFormula>
    </tableColumn>
    <tableColumn id="5" name="5 Maiores Quantias" totalsRowFunction="custom" dataDxfId="399" totalsRowDxfId="398">
      <calculatedColumnFormula>TabelaDeRendimentos813151923[[#This Row],[REAL]]+(10^-6)*ROW(TabelaDeRendimentos813151923[[#This Row],[REAL]])</calculatedColumnFormula>
      <totalsRowFormula>SUBTOTAL(9,TabelaDeRendimentos813151923[5 Maiores Quantias])</totalsRowFormula>
    </tableColumn>
    <tableColumn id="4" name="DIFERENÇA" totalsRowFunction="custom" dataDxfId="397" totalsRowDxfId="396">
      <calculatedColumnFormula>TabelaDeRendimentos813151923[[#This Row],[REAL]]-TabelaDeRendimentos813151923[[#This Row],[ESTIMADO]]</calculatedColumnFormula>
      <totalsRowFormula>SUBTOTAL(9,TabelaDeRendimentos813151923[DIFERENÇA])</totalsRowFormula>
    </tableColumn>
  </tableColumns>
  <tableStyleInfo name="Monthly Budget" showFirstColumn="0" showLastColumn="0" showRowStripes="0" showColumnStripes="0"/>
</table>
</file>

<file path=xl/tables/table39.xml><?xml version="1.0" encoding="utf-8"?>
<table xmlns="http://schemas.openxmlformats.org/spreadsheetml/2006/main" id="23" name="TabelaDeTotais914162024" displayName="TabelaDeTotais914162024" ref="H4:K7" totalsRowCount="1" headerRowDxfId="395" totalsRowDxfId="394">
  <autoFilter ref="H4:K6"/>
  <tableColumns count="4">
    <tableColumn id="1" name="TOTAL ORÇAMENTAL" totalsRowLabel="Balanço (Rendimento menos Despesas)" totalsRowDxfId="393"/>
    <tableColumn id="2" name="ESTIMADO" totalsRowFunction="custom" totalsRowDxfId="392">
      <totalsRowFormula>I5-I6</totalsRowFormula>
    </tableColumn>
    <tableColumn id="3" name="REAL" totalsRowFunction="custom" totalsRowDxfId="391">
      <totalsRowFormula>J5-J6</totalsRowFormula>
    </tableColumn>
    <tableColumn id="4" name="DIFERENÇA" totalsRowFunction="custom" totalsRowDxfId="390">
      <totalsRowFormula>TabelaDeTotais914162024[[#Totals],[REAL]]-TabelaDeTotais914162024[[#Totals],[ESTIMADO]]</totalsRowFormula>
    </tableColumn>
  </tableColumns>
  <tableStyleInfo name="Monthly Budget" showFirstColumn="0" showLastColumn="1" showRowStripes="0" showColumnStripes="0"/>
</table>
</file>

<file path=xl/tables/table4.xml><?xml version="1.0" encoding="utf-8"?>
<table xmlns="http://schemas.openxmlformats.org/spreadsheetml/2006/main" id="64" name="TabelaDeDespesasDePessoal11161865" displayName="TabelaDeDespesasDePessoal11161865" ref="B11:F16" totalsRowCount="1" headerRowDxfId="767" totalsRowDxfId="766">
  <autoFilter ref="B11:F15"/>
  <tableColumns count="5">
    <tableColumn id="1" name="DESPESAS COM PESSOAL" totalsRowLabel="Total de Pessoal" dataDxfId="765" totalsRowDxfId="764"/>
    <tableColumn id="2" name="ESTIMADO" totalsRowFunction="custom" dataDxfId="763" totalsRowDxfId="762">
      <calculatedColumnFormula>TabelaDeDespesasDePessoal111618[[#This Row],[ESTIMADO]]+TabelaDeDespesasDePessoal11161821[[#This Row],[ESTIMADO]]+TabelaDeDespesasDePessoal1116182125[[#This Row],[ESTIMADO]]</calculatedColumnFormula>
      <totalsRowFormula>SUBTOTAL(9,TabelaDeDespesasDePessoal11161865[ESTIMADO])</totalsRowFormula>
    </tableColumn>
    <tableColumn id="3" name="REAL" totalsRowFunction="custom" dataDxfId="761" totalsRowDxfId="760">
      <calculatedColumnFormula>TabelaDeDespesasDePessoal111618[[#This Row],[REAL]]+TabelaDeDespesasDePessoal11161821[[#This Row],[REAL]]+TabelaDeDespesasDePessoal1116182125[[#This Row],[REAL]]</calculatedColumnFormula>
      <totalsRowFormula>SUBTOTAL(9,TabelaDeDespesasDePessoal11161865[REAL])</totalsRowFormula>
    </tableColumn>
    <tableColumn id="4" name="5 Maiores Quantias" totalsRowFunction="custom" dataDxfId="759" totalsRowDxfId="758">
      <calculatedColumnFormula>TabelaDeDespesasDePessoal11161865[[#This Row],[REAL]]+(10^-6)*ROW(TabelaDeDespesasDePessoal11161865[[#This Row],[REAL]])</calculatedColumnFormula>
      <totalsRowFormula>SUBTOTAL(9,TabelaDeDespesasDePessoal11161865[5 Maiores Quantias])</totalsRowFormula>
    </tableColumn>
    <tableColumn id="5" name="DIFERENÇA" totalsRowFunction="custom" dataDxfId="757" totalsRowDxfId="756">
      <calculatedColumnFormula>TabelaDeDespesasDePessoal11161865[[#This Row],[ESTIMADO]]-TabelaDeDespesasDePessoal11161865[[#This Row],[REAL]]</calculatedColumnFormula>
      <totalsRowFormula>SUBTOTAL(9,TabelaDeDespesasDePessoal11161865[DIFERENÇA])</totalsRowFormula>
    </tableColumn>
  </tableColumns>
  <tableStyleInfo name="Monthly Budget" showFirstColumn="0" showLastColumn="0" showRowStripes="0" showColumnStripes="0"/>
</table>
</file>

<file path=xl/tables/table40.xml><?xml version="1.0" encoding="utf-8"?>
<table xmlns="http://schemas.openxmlformats.org/spreadsheetml/2006/main" id="24" name="TabelaDeDespesasDePessoal1116182125" displayName="TabelaDeDespesasDePessoal1116182125" ref="B11:F16" totalsRowCount="1" headerRowDxfId="389" totalsRowDxfId="388">
  <autoFilter ref="B11:F15"/>
  <tableColumns count="5">
    <tableColumn id="1" name="DESPESAS COM PESSOAL" totalsRowLabel="Total de Pessoal" dataDxfId="387" totalsRowDxfId="386"/>
    <tableColumn id="2" name="ESTIMADO" totalsRowFunction="custom" dataDxfId="385" totalsRowDxfId="384">
      <totalsRowFormula>SUBTOTAL(9,TabelaDeDespesasDePessoal1116182125[ESTIMADO])</totalsRowFormula>
    </tableColumn>
    <tableColumn id="3" name="REAL" totalsRowFunction="custom" dataDxfId="383" totalsRowDxfId="382">
      <totalsRowFormula>SUBTOTAL(9,TabelaDeDespesasDePessoal1116182125[REAL])</totalsRowFormula>
    </tableColumn>
    <tableColumn id="4" name="5 Maiores Quantias" totalsRowFunction="custom" dataDxfId="381" totalsRowDxfId="380">
      <calculatedColumnFormula>TabelaDeDespesasDePessoal1116182125[[#This Row],[REAL]]+(10^-6)*ROW(TabelaDeDespesasDePessoal1116182125[[#This Row],[REAL]])</calculatedColumnFormula>
      <totalsRowFormula>SUBTOTAL(9,TabelaDeDespesasDePessoal1116182125[5 Maiores Quantias])</totalsRowFormula>
    </tableColumn>
    <tableColumn id="5" name="DIFERENÇA" totalsRowFunction="custom" dataDxfId="379" totalsRowDxfId="378">
      <calculatedColumnFormula>TabelaDeDespesasDePessoal1116182125[[#This Row],[ESTIMADO]]-TabelaDeDespesasDePessoal1116182125[[#This Row],[REAL]]</calculatedColumnFormula>
      <totalsRowFormula>SUBTOTAL(9,TabelaDeDespesasDePessoal1116182125[DIFERENÇA])</totalsRowFormula>
    </tableColumn>
  </tableColumns>
  <tableStyleInfo name="Monthly Budget" showFirstColumn="0" showLastColumn="0" showRowStripes="0" showColumnStripes="0"/>
</table>
</file>

<file path=xl/tables/table41.xml><?xml version="1.0" encoding="utf-8"?>
<table xmlns="http://schemas.openxmlformats.org/spreadsheetml/2006/main" id="25" name="TabelaDeDespesasOperacionais71214172226" displayName="TabelaDeDespesasOperacionais71214172226" ref="B18:F31" totalsRowCount="1" headerRowDxfId="377" totalsRowDxfId="376">
  <autoFilter ref="B18:F30"/>
  <sortState ref="B19:F39">
    <sortCondition ref="B16:B37"/>
  </sortState>
  <tableColumns count="5">
    <tableColumn id="1" name="DESPESAS COM FUNCIONAMENTO" totalsRowLabel="Total de Funcionamento" dataDxfId="375" totalsRowDxfId="374"/>
    <tableColumn id="2" name="ESTIMADO" totalsRowFunction="custom" dataDxfId="373" totalsRowDxfId="372">
      <totalsRowFormula>SUBTOTAL(9,TabelaDeDespesasOperacionais71214172226[ESTIMADO])</totalsRowFormula>
    </tableColumn>
    <tableColumn id="3" name="REAL" totalsRowFunction="custom" dataDxfId="371" totalsRowDxfId="370">
      <totalsRowFormula>SUBTOTAL(9,TabelaDeDespesasOperacionais71214172226[REAL])</totalsRowFormula>
    </tableColumn>
    <tableColumn id="5" name="5 Maiores Quantias" totalsRowFunction="custom" dataDxfId="369" totalsRowDxfId="368">
      <calculatedColumnFormula>TabelaDeDespesasOperacionais71214172226[[#This Row],[REAL]]+(10^-6)*ROW(TabelaDeDespesasOperacionais71214172226[[#This Row],[REAL]])</calculatedColumnFormula>
      <totalsRowFormula>SUBTOTAL(9,TabelaDeDespesasOperacionais71214172226[5 Maiores Quantias])</totalsRowFormula>
    </tableColumn>
    <tableColumn id="4" name="DIFERENÇA" totalsRowFunction="custom" dataDxfId="367" totalsRowDxfId="366">
      <calculatedColumnFormula>TabelaDeDespesasOperacionais71214172226[[#This Row],[ESTIMADO]]-TabelaDeDespesasOperacionais71214172226[[#This Row],[REAL]]</calculatedColumnFormula>
      <totalsRowFormula>SUBTOTAL(9,TabelaDeDespesasOperacionais71214172226[DIFERENÇA])</totalsRowFormula>
    </tableColumn>
  </tableColumns>
  <tableStyleInfo name="Monthly Budget" showFirstColumn="0" showLastColumn="0" showRowStripes="0" showColumnStripes="0"/>
</table>
</file>

<file path=xl/tables/table42.xml><?xml version="1.0" encoding="utf-8"?>
<table xmlns="http://schemas.openxmlformats.org/spreadsheetml/2006/main" id="26" name="TabelaDeRendimentos81315192327" displayName="TabelaDeRendimentos81315192327" ref="B4:F9" totalsRowCount="1" headerRowDxfId="365" totalsRowDxfId="364">
  <autoFilter ref="B4:F8"/>
  <tableColumns count="5">
    <tableColumn id="1" name="RENDIMENTOS" totalsRowLabel="Total Rendimentos" dataDxfId="363" totalsRowDxfId="362"/>
    <tableColumn id="2" name="ESTIMADO" totalsRowFunction="custom" dataDxfId="361" totalsRowDxfId="360">
      <totalsRowFormula>SUBTOTAL(9,TabelaDeRendimentos81315192327[ESTIMADO])</totalsRowFormula>
    </tableColumn>
    <tableColumn id="3" name="REAL" totalsRowFunction="custom" dataDxfId="359" totalsRowDxfId="358">
      <totalsRowFormula>SUBTOTAL(9,TabelaDeRendimentos81315192327[REAL])</totalsRowFormula>
    </tableColumn>
    <tableColumn id="5" name="5 Maiores Quantias" totalsRowFunction="custom" dataDxfId="357" totalsRowDxfId="356">
      <calculatedColumnFormula>TabelaDeRendimentos81315192327[[#This Row],[REAL]]+(10^-6)*ROW(TabelaDeRendimentos81315192327[[#This Row],[REAL]])</calculatedColumnFormula>
      <totalsRowFormula>SUBTOTAL(9,TabelaDeRendimentos81315192327[5 Maiores Quantias])</totalsRowFormula>
    </tableColumn>
    <tableColumn id="4" name="DIFERENÇA" totalsRowFunction="custom" dataDxfId="355" totalsRowDxfId="354">
      <calculatedColumnFormula>TabelaDeRendimentos81315192327[[#This Row],[REAL]]-TabelaDeRendimentos81315192327[[#This Row],[ESTIMADO]]</calculatedColumnFormula>
      <totalsRowFormula>SUBTOTAL(9,TabelaDeRendimentos81315192327[DIFERENÇA])</totalsRowFormula>
    </tableColumn>
  </tableColumns>
  <tableStyleInfo name="Monthly Budget" showFirstColumn="0" showLastColumn="0" showRowStripes="0" showColumnStripes="0"/>
</table>
</file>

<file path=xl/tables/table43.xml><?xml version="1.0" encoding="utf-8"?>
<table xmlns="http://schemas.openxmlformats.org/spreadsheetml/2006/main" id="27" name="TabelaDeTotais91416202428" displayName="TabelaDeTotais91416202428" ref="H4:K7" totalsRowCount="1" headerRowDxfId="353" totalsRowDxfId="352">
  <autoFilter ref="H4:K6"/>
  <tableColumns count="4">
    <tableColumn id="1" name="TOTAL ORÇAMENTAL" totalsRowLabel="Balanço (Rendimento menos Despesas)" totalsRowDxfId="351"/>
    <tableColumn id="2" name="ESTIMADO" totalsRowFunction="custom" totalsRowDxfId="350">
      <totalsRowFormula>I5-I6</totalsRowFormula>
    </tableColumn>
    <tableColumn id="3" name="REAL" totalsRowFunction="custom" totalsRowDxfId="349">
      <totalsRowFormula>J5-J6</totalsRowFormula>
    </tableColumn>
    <tableColumn id="4" name="DIFERENÇA" totalsRowFunction="custom" totalsRowDxfId="348">
      <totalsRowFormula>TabelaDeTotais91416202428[[#Totals],[REAL]]-TabelaDeTotais91416202428[[#Totals],[ESTIMADO]]</totalsRowFormula>
    </tableColumn>
  </tableColumns>
  <tableStyleInfo name="Monthly Budget" showFirstColumn="0" showLastColumn="1" showRowStripes="0" showColumnStripes="0"/>
</table>
</file>

<file path=xl/tables/table44.xml><?xml version="1.0" encoding="utf-8"?>
<table xmlns="http://schemas.openxmlformats.org/spreadsheetml/2006/main" id="28" name="TabelaDeDespesasDePessoal111618212529" displayName="TabelaDeDespesasDePessoal111618212529" ref="B11:F16" totalsRowCount="1" headerRowDxfId="347" totalsRowDxfId="346">
  <autoFilter ref="B11:F15"/>
  <tableColumns count="5">
    <tableColumn id="1" name="DESPESAS COM PESSOAL" totalsRowLabel="Total de Pessoal" dataDxfId="345" totalsRowDxfId="344"/>
    <tableColumn id="2" name="ESTIMADO" totalsRowFunction="custom" dataDxfId="343" totalsRowDxfId="342">
      <totalsRowFormula>SUBTOTAL(9,TabelaDeDespesasDePessoal111618212529[ESTIMADO])</totalsRowFormula>
    </tableColumn>
    <tableColumn id="3" name="REAL" totalsRowFunction="custom" dataDxfId="341" totalsRowDxfId="340">
      <totalsRowFormula>SUBTOTAL(9,TabelaDeDespesasDePessoal111618212529[REAL])</totalsRowFormula>
    </tableColumn>
    <tableColumn id="4" name="5 Maiores Quantias" totalsRowFunction="custom" dataDxfId="339" totalsRowDxfId="338">
      <calculatedColumnFormula>TabelaDeDespesasDePessoal111618212529[[#This Row],[REAL]]+(10^-6)*ROW(TabelaDeDespesasDePessoal111618212529[[#This Row],[REAL]])</calculatedColumnFormula>
      <totalsRowFormula>SUBTOTAL(9,TabelaDeDespesasDePessoal111618212529[5 Maiores Quantias])</totalsRowFormula>
    </tableColumn>
    <tableColumn id="5" name="DIFERENÇA" totalsRowFunction="custom" dataDxfId="337" totalsRowDxfId="336">
      <calculatedColumnFormula>TabelaDeDespesasDePessoal111618212529[[#This Row],[ESTIMADO]]-TabelaDeDespesasDePessoal111618212529[[#This Row],[REAL]]</calculatedColumnFormula>
      <totalsRowFormula>SUBTOTAL(9,TabelaDeDespesasDePessoal111618212529[DIFERENÇA])</totalsRowFormula>
    </tableColumn>
  </tableColumns>
  <tableStyleInfo name="Monthly Budget" showFirstColumn="0" showLastColumn="0" showRowStripes="0" showColumnStripes="0"/>
</table>
</file>

<file path=xl/tables/table45.xml><?xml version="1.0" encoding="utf-8"?>
<table xmlns="http://schemas.openxmlformats.org/spreadsheetml/2006/main" id="29" name="TabelaDeDespesasOperacionais7121417222630" displayName="TabelaDeDespesasOperacionais7121417222630" ref="B18:F31" totalsRowCount="1" headerRowDxfId="335" totalsRowDxfId="334">
  <autoFilter ref="B18:F30"/>
  <sortState ref="B19:F39">
    <sortCondition ref="B16:B37"/>
  </sortState>
  <tableColumns count="5">
    <tableColumn id="1" name="DESPESAS COM FUNCIONAMENTO" totalsRowLabel="Total de Funcionamento" dataDxfId="333" totalsRowDxfId="332"/>
    <tableColumn id="2" name="ESTIMADO" totalsRowFunction="custom" dataDxfId="331" totalsRowDxfId="330">
      <totalsRowFormula>SUBTOTAL(9,TabelaDeDespesasOperacionais7121417222630[ESTIMADO])</totalsRowFormula>
    </tableColumn>
    <tableColumn id="3" name="REAL" totalsRowFunction="custom" dataDxfId="329" totalsRowDxfId="328">
      <totalsRowFormula>SUBTOTAL(9,TabelaDeDespesasOperacionais7121417222630[REAL])</totalsRowFormula>
    </tableColumn>
    <tableColumn id="5" name="5 Maiores Quantias" totalsRowFunction="custom" dataDxfId="327" totalsRowDxfId="326">
      <calculatedColumnFormula>TabelaDeDespesasOperacionais7121417222630[[#This Row],[REAL]]+(10^-6)*ROW(TabelaDeDespesasOperacionais7121417222630[[#This Row],[REAL]])</calculatedColumnFormula>
      <totalsRowFormula>SUBTOTAL(9,TabelaDeDespesasOperacionais7121417222630[5 Maiores Quantias])</totalsRowFormula>
    </tableColumn>
    <tableColumn id="4" name="DIFERENÇA" totalsRowFunction="custom" dataDxfId="325" totalsRowDxfId="324">
      <calculatedColumnFormula>TabelaDeDespesasOperacionais7121417222630[[#This Row],[ESTIMADO]]-TabelaDeDespesasOperacionais7121417222630[[#This Row],[REAL]]</calculatedColumnFormula>
      <totalsRowFormula>SUBTOTAL(9,TabelaDeDespesasOperacionais7121417222630[DIFERENÇA])</totalsRowFormula>
    </tableColumn>
  </tableColumns>
  <tableStyleInfo name="Monthly Budget" showFirstColumn="0" showLastColumn="0" showRowStripes="0" showColumnStripes="0"/>
</table>
</file>

<file path=xl/tables/table46.xml><?xml version="1.0" encoding="utf-8"?>
<table xmlns="http://schemas.openxmlformats.org/spreadsheetml/2006/main" id="30" name="TabelaDeRendimentos8131519232731" displayName="TabelaDeRendimentos8131519232731" ref="B4:F9" totalsRowCount="1" headerRowDxfId="323" totalsRowDxfId="322">
  <autoFilter ref="B4:F8"/>
  <tableColumns count="5">
    <tableColumn id="1" name="RENDIMENTOS" totalsRowLabel="Total Rendimentos" dataDxfId="321" totalsRowDxfId="320"/>
    <tableColumn id="2" name="ESTIMADO" totalsRowFunction="custom" dataDxfId="319" totalsRowDxfId="318">
      <totalsRowFormula>SUBTOTAL(9,TabelaDeRendimentos8131519232731[ESTIMADO])</totalsRowFormula>
    </tableColumn>
    <tableColumn id="3" name="REAL" totalsRowFunction="custom" dataDxfId="317" totalsRowDxfId="316">
      <totalsRowFormula>SUBTOTAL(9,TabelaDeRendimentos8131519232731[REAL])</totalsRowFormula>
    </tableColumn>
    <tableColumn id="5" name="5 Maiores Quantias" totalsRowFunction="custom" dataDxfId="315" totalsRowDxfId="314">
      <calculatedColumnFormula>TabelaDeRendimentos8131519232731[[#This Row],[REAL]]+(10^-6)*ROW(TabelaDeRendimentos8131519232731[[#This Row],[REAL]])</calculatedColumnFormula>
      <totalsRowFormula>SUBTOTAL(9,TabelaDeRendimentos8131519232731[5 Maiores Quantias])</totalsRowFormula>
    </tableColumn>
    <tableColumn id="4" name="DIFERENÇA" totalsRowFunction="custom" dataDxfId="313" totalsRowDxfId="312">
      <calculatedColumnFormula>TabelaDeRendimentos8131519232731[[#This Row],[REAL]]-TabelaDeRendimentos8131519232731[[#This Row],[ESTIMADO]]</calculatedColumnFormula>
      <totalsRowFormula>SUBTOTAL(9,TabelaDeRendimentos8131519232731[DIFERENÇA])</totalsRowFormula>
    </tableColumn>
  </tableColumns>
  <tableStyleInfo name="Monthly Budget" showFirstColumn="0" showLastColumn="0" showRowStripes="0" showColumnStripes="0"/>
</table>
</file>

<file path=xl/tables/table47.xml><?xml version="1.0" encoding="utf-8"?>
<table xmlns="http://schemas.openxmlformats.org/spreadsheetml/2006/main" id="31" name="TabelaDeTotais9141620242832" displayName="TabelaDeTotais9141620242832" ref="H4:K7" totalsRowCount="1" headerRowDxfId="311" totalsRowDxfId="310">
  <autoFilter ref="H4:K6"/>
  <tableColumns count="4">
    <tableColumn id="1" name="TOTAL ORÇAMENTAL" totalsRowLabel="Balanço (Rendimento menos Despesas)" totalsRowDxfId="309"/>
    <tableColumn id="2" name="ESTIMADO" totalsRowFunction="custom" totalsRowDxfId="308">
      <totalsRowFormula>I5-I6</totalsRowFormula>
    </tableColumn>
    <tableColumn id="3" name="REAL" totalsRowFunction="custom" totalsRowDxfId="307">
      <totalsRowFormula>J5-J6</totalsRowFormula>
    </tableColumn>
    <tableColumn id="4" name="DIFERENÇA" totalsRowFunction="custom" totalsRowDxfId="306">
      <totalsRowFormula>TabelaDeTotais9141620242832[[#Totals],[REAL]]-TabelaDeTotais9141620242832[[#Totals],[ESTIMADO]]</totalsRowFormula>
    </tableColumn>
  </tableColumns>
  <tableStyleInfo name="Monthly Budget" showFirstColumn="0" showLastColumn="1" showRowStripes="0" showColumnStripes="0"/>
</table>
</file>

<file path=xl/tables/table48.xml><?xml version="1.0" encoding="utf-8"?>
<table xmlns="http://schemas.openxmlformats.org/spreadsheetml/2006/main" id="32" name="TabelaDeDespesasDePessoal11161821252933" displayName="TabelaDeDespesasDePessoal11161821252933" ref="B11:F16" totalsRowCount="1" headerRowDxfId="305" totalsRowDxfId="304">
  <autoFilter ref="B11:F15"/>
  <tableColumns count="5">
    <tableColumn id="1" name="DESPESAS COM PESSOAL" totalsRowLabel="Total de Pessoal" dataDxfId="303" totalsRowDxfId="302"/>
    <tableColumn id="2" name="ESTIMADO" totalsRowFunction="custom" dataDxfId="301" totalsRowDxfId="300">
      <totalsRowFormula>SUBTOTAL(9,TabelaDeDespesasDePessoal11161821252933[ESTIMADO])</totalsRowFormula>
    </tableColumn>
    <tableColumn id="3" name="REAL" totalsRowFunction="custom" dataDxfId="299" totalsRowDxfId="298">
      <totalsRowFormula>SUBTOTAL(9,TabelaDeDespesasDePessoal11161821252933[REAL])</totalsRowFormula>
    </tableColumn>
    <tableColumn id="4" name="5 Maiores Quantias" totalsRowFunction="custom" dataDxfId="297" totalsRowDxfId="296">
      <calculatedColumnFormula>TabelaDeDespesasDePessoal11161821252933[[#This Row],[REAL]]+(10^-6)*ROW(TabelaDeDespesasDePessoal11161821252933[[#This Row],[REAL]])</calculatedColumnFormula>
      <totalsRowFormula>SUBTOTAL(9,TabelaDeDespesasDePessoal11161821252933[5 Maiores Quantias])</totalsRowFormula>
    </tableColumn>
    <tableColumn id="5" name="DIFERENÇA" totalsRowFunction="custom" dataDxfId="295" totalsRowDxfId="294">
      <calculatedColumnFormula>TabelaDeDespesasDePessoal11161821252933[[#This Row],[ESTIMADO]]-TabelaDeDespesasDePessoal11161821252933[[#This Row],[REAL]]</calculatedColumnFormula>
      <totalsRowFormula>SUBTOTAL(9,TabelaDeDespesasDePessoal11161821252933[DIFERENÇA])</totalsRowFormula>
    </tableColumn>
  </tableColumns>
  <tableStyleInfo name="Monthly Budget" showFirstColumn="0" showLastColumn="0" showRowStripes="0" showColumnStripes="0"/>
</table>
</file>

<file path=xl/tables/table49.xml><?xml version="1.0" encoding="utf-8"?>
<table xmlns="http://schemas.openxmlformats.org/spreadsheetml/2006/main" id="33" name="TabelaDeDespesasOperacionais712141722263034" displayName="TabelaDeDespesasOperacionais712141722263034" ref="B18:F31" totalsRowCount="1" headerRowDxfId="293" totalsRowDxfId="292">
  <autoFilter ref="B18:F30"/>
  <sortState ref="B19:F39">
    <sortCondition ref="B16:B37"/>
  </sortState>
  <tableColumns count="5">
    <tableColumn id="1" name="DESPESAS COM FUNCIONAMENTO" totalsRowLabel="Total de Funcionamento" dataDxfId="291" totalsRowDxfId="290"/>
    <tableColumn id="2" name="ESTIMADO" totalsRowFunction="custom" dataDxfId="289" totalsRowDxfId="288">
      <totalsRowFormula>SUBTOTAL(9,TabelaDeDespesasOperacionais712141722263034[ESTIMADO])</totalsRowFormula>
    </tableColumn>
    <tableColumn id="3" name="REAL" totalsRowFunction="custom" dataDxfId="287" totalsRowDxfId="286">
      <totalsRowFormula>SUBTOTAL(9,TabelaDeDespesasOperacionais712141722263034[REAL])</totalsRowFormula>
    </tableColumn>
    <tableColumn id="5" name="5 Maiores Quantias" totalsRowFunction="custom" dataDxfId="285" totalsRowDxfId="284">
      <calculatedColumnFormula>TabelaDeDespesasOperacionais712141722263034[[#This Row],[REAL]]+(10^-6)*ROW(TabelaDeDespesasOperacionais712141722263034[[#This Row],[REAL]])</calculatedColumnFormula>
      <totalsRowFormula>SUBTOTAL(9,TabelaDeDespesasOperacionais712141722263034[5 Maiores Quantias])</totalsRowFormula>
    </tableColumn>
    <tableColumn id="4" name="DIFERENÇA" totalsRowFunction="custom" dataDxfId="283" totalsRowDxfId="282">
      <calculatedColumnFormula>TabelaDeDespesasOperacionais712141722263034[[#This Row],[ESTIMADO]]-TabelaDeDespesasOperacionais712141722263034[[#This Row],[REAL]]</calculatedColumnFormula>
      <totalsRowFormula>SUBTOTAL(9,TabelaDeDespesasOperacionais712141722263034[DIFERENÇA])</totalsRowFormula>
    </tableColumn>
  </tableColumns>
  <tableStyleInfo name="Monthly Budget" showFirstColumn="0" showLastColumn="0" showRowStripes="0" showColumnStripes="0"/>
</table>
</file>

<file path=xl/tables/table5.xml><?xml version="1.0" encoding="utf-8"?>
<table xmlns="http://schemas.openxmlformats.org/spreadsheetml/2006/main" id="77" name="TabelaDeDespesasOperacionais712146278" displayName="TabelaDeDespesasOperacionais712146278" ref="B18:F31" totalsRowCount="1" headerRowDxfId="755" totalsRowDxfId="754">
  <autoFilter ref="B18:F30"/>
  <sortState ref="B19:F39">
    <sortCondition ref="B16:B37"/>
  </sortState>
  <tableColumns count="5">
    <tableColumn id="1" name="DESPESAS COM FUNCIONAMENTO" totalsRowLabel="Total de Funcionamento" dataDxfId="753" totalsRowDxfId="752"/>
    <tableColumn id="2" name="ESTIMADO" totalsRowFunction="custom" dataDxfId="751" totalsRowDxfId="750">
      <calculatedColumnFormula>TabelaDeDespesasOperacionais71214172226[[#This Row],[ESTIMADO]]+TabelaDeDespesasOperacionais7121417222630[[#This Row],[ESTIMADO]]+TabelaDeDespesasOperacionais712141722263034[[#This Row],[ESTIMADO]]</calculatedColumnFormula>
      <totalsRowFormula>SUBTOTAL(9,TabelaDeDespesasOperacionais712146278[ESTIMADO])</totalsRowFormula>
    </tableColumn>
    <tableColumn id="3" name="REAL" totalsRowFunction="custom" dataDxfId="749" totalsRowDxfId="748">
      <calculatedColumnFormula>TabelaDeDespesasOperacionais71214172226[[#This Row],[REAL]]+TabelaDeDespesasOperacionais7121417222630[[#This Row],[REAL]]+TabelaDeDespesasOperacionais712141722263034[[#This Row],[REAL]]</calculatedColumnFormula>
      <totalsRowFormula>SUBTOTAL(9,TabelaDeDespesasOperacionais712146278[REAL])</totalsRowFormula>
    </tableColumn>
    <tableColumn id="5" name="5 Maiores Quantias" totalsRowFunction="custom" dataDxfId="747" totalsRowDxfId="746">
      <calculatedColumnFormula>TabelaDeDespesasOperacionais712146278[[#This Row],[REAL]]+(10^-6)*ROW(TabelaDeDespesasOperacionais712146278[[#This Row],[REAL]])</calculatedColumnFormula>
      <totalsRowFormula>SUBTOTAL(9,TabelaDeDespesasOperacionais712146278[5 Maiores Quantias])</totalsRowFormula>
    </tableColumn>
    <tableColumn id="4" name="DIFERENÇA" totalsRowFunction="custom" dataDxfId="745" totalsRowDxfId="744">
      <calculatedColumnFormula>TabelaDeDespesasOperacionais712146278[[#This Row],[ESTIMADO]]-TabelaDeDespesasOperacionais712146278[[#This Row],[REAL]]</calculatedColumnFormula>
      <totalsRowFormula>SUBTOTAL(9,TabelaDeDespesasOperacionais712146278[DIFERENÇA])</totalsRowFormula>
    </tableColumn>
  </tableColumns>
  <tableStyleInfo name="Monthly Budget" showFirstColumn="0" showLastColumn="0" showRowStripes="0" showColumnStripes="0"/>
</table>
</file>

<file path=xl/tables/table50.xml><?xml version="1.0" encoding="utf-8"?>
<table xmlns="http://schemas.openxmlformats.org/spreadsheetml/2006/main" id="34" name="TabelaDeRendimentos813151923273135" displayName="TabelaDeRendimentos813151923273135" ref="B4:F9" totalsRowCount="1" headerRowDxfId="281" totalsRowDxfId="280">
  <autoFilter ref="B4:F8"/>
  <tableColumns count="5">
    <tableColumn id="1" name="RENDIMENTOS" totalsRowLabel="Total Rendimentos" dataDxfId="279" totalsRowDxfId="278"/>
    <tableColumn id="2" name="ESTIMADO" totalsRowFunction="custom" dataDxfId="277" totalsRowDxfId="276">
      <totalsRowFormula>SUBTOTAL(9,TabelaDeRendimentos813151923273135[ESTIMADO])</totalsRowFormula>
    </tableColumn>
    <tableColumn id="3" name="REAL" totalsRowFunction="custom" dataDxfId="275" totalsRowDxfId="274">
      <totalsRowFormula>SUBTOTAL(9,TabelaDeRendimentos813151923273135[REAL])</totalsRowFormula>
    </tableColumn>
    <tableColumn id="5" name="5 Maiores Quantias" totalsRowFunction="custom" dataDxfId="273" totalsRowDxfId="272">
      <calculatedColumnFormula>TabelaDeRendimentos813151923273135[[#This Row],[REAL]]+(10^-6)*ROW(TabelaDeRendimentos813151923273135[[#This Row],[REAL]])</calculatedColumnFormula>
      <totalsRowFormula>SUBTOTAL(9,TabelaDeRendimentos813151923273135[5 Maiores Quantias])</totalsRowFormula>
    </tableColumn>
    <tableColumn id="4" name="DIFERENÇA" totalsRowFunction="custom" dataDxfId="271" totalsRowDxfId="270">
      <calculatedColumnFormula>TabelaDeRendimentos813151923273135[[#This Row],[REAL]]-TabelaDeRendimentos813151923273135[[#This Row],[ESTIMADO]]</calculatedColumnFormula>
      <totalsRowFormula>SUBTOTAL(9,TabelaDeRendimentos813151923273135[DIFERENÇA])</totalsRowFormula>
    </tableColumn>
  </tableColumns>
  <tableStyleInfo name="Monthly Budget" showFirstColumn="0" showLastColumn="0" showRowStripes="0" showColumnStripes="0"/>
</table>
</file>

<file path=xl/tables/table51.xml><?xml version="1.0" encoding="utf-8"?>
<table xmlns="http://schemas.openxmlformats.org/spreadsheetml/2006/main" id="35" name="TabelaDeTotais914162024283236" displayName="TabelaDeTotais914162024283236" ref="H4:K7" totalsRowCount="1" headerRowDxfId="269" totalsRowDxfId="268">
  <autoFilter ref="H4:K6"/>
  <tableColumns count="4">
    <tableColumn id="1" name="TOTAL ORÇAMENTAL" totalsRowLabel="Balanço (Rendimento menos Despesas)" totalsRowDxfId="267"/>
    <tableColumn id="2" name="ESTIMADO" totalsRowFunction="custom" totalsRowDxfId="266">
      <totalsRowFormula>I5-I6</totalsRowFormula>
    </tableColumn>
    <tableColumn id="3" name="REAL" totalsRowFunction="custom" totalsRowDxfId="265">
      <totalsRowFormula>J5-J6</totalsRowFormula>
    </tableColumn>
    <tableColumn id="4" name="DIFERENÇA" totalsRowFunction="custom" totalsRowDxfId="264">
      <totalsRowFormula>TabelaDeTotais914162024283236[[#Totals],[REAL]]-TabelaDeTotais914162024283236[[#Totals],[ESTIMADO]]</totalsRowFormula>
    </tableColumn>
  </tableColumns>
  <tableStyleInfo name="Monthly Budget" showFirstColumn="0" showLastColumn="1" showRowStripes="0" showColumnStripes="0"/>
</table>
</file>

<file path=xl/tables/table52.xml><?xml version="1.0" encoding="utf-8"?>
<table xmlns="http://schemas.openxmlformats.org/spreadsheetml/2006/main" id="36" name="TabelaDeDespesasDePessoal1116182125293337" displayName="TabelaDeDespesasDePessoal1116182125293337" ref="B11:F16" totalsRowCount="1" headerRowDxfId="263" totalsRowDxfId="262">
  <autoFilter ref="B11:F15"/>
  <tableColumns count="5">
    <tableColumn id="1" name="DESPESAS COM PESSOAL" totalsRowLabel="Total de Pessoal" dataDxfId="261" totalsRowDxfId="260"/>
    <tableColumn id="2" name="ESTIMADO" totalsRowFunction="custom" dataDxfId="259" totalsRowDxfId="258">
      <totalsRowFormula>SUBTOTAL(9,TabelaDeDespesasDePessoal1116182125293337[ESTIMADO])</totalsRowFormula>
    </tableColumn>
    <tableColumn id="3" name="REAL" totalsRowFunction="custom" dataDxfId="257" totalsRowDxfId="256">
      <totalsRowFormula>SUBTOTAL(9,TabelaDeDespesasDePessoal1116182125293337[REAL])</totalsRowFormula>
    </tableColumn>
    <tableColumn id="4" name="5 Maiores Quantias" totalsRowFunction="custom" dataDxfId="255" totalsRowDxfId="254">
      <calculatedColumnFormula>TabelaDeDespesasDePessoal1116182125293337[[#This Row],[REAL]]+(10^-6)*ROW(TabelaDeDespesasDePessoal1116182125293337[[#This Row],[REAL]])</calculatedColumnFormula>
      <totalsRowFormula>SUBTOTAL(9,TabelaDeDespesasDePessoal1116182125293337[5 Maiores Quantias])</totalsRowFormula>
    </tableColumn>
    <tableColumn id="5" name="DIFERENÇA" totalsRowFunction="custom" dataDxfId="253" totalsRowDxfId="252">
      <calculatedColumnFormula>TabelaDeDespesasDePessoal1116182125293337[[#This Row],[ESTIMADO]]-TabelaDeDespesasDePessoal1116182125293337[[#This Row],[REAL]]</calculatedColumnFormula>
      <totalsRowFormula>SUBTOTAL(9,TabelaDeDespesasDePessoal1116182125293337[DIFERENÇA])</totalsRowFormula>
    </tableColumn>
  </tableColumns>
  <tableStyleInfo name="Monthly Budget" showFirstColumn="0" showLastColumn="0" showRowStripes="0" showColumnStripes="0"/>
</table>
</file>

<file path=xl/tables/table53.xml><?xml version="1.0" encoding="utf-8"?>
<table xmlns="http://schemas.openxmlformats.org/spreadsheetml/2006/main" id="37" name="TabelaDeDespesasOperacionais71214172226303438" displayName="TabelaDeDespesasOperacionais71214172226303438" ref="B18:F31" totalsRowCount="1" headerRowDxfId="251" totalsRowDxfId="250">
  <autoFilter ref="B18:F30"/>
  <sortState ref="B19:F39">
    <sortCondition ref="B16:B37"/>
  </sortState>
  <tableColumns count="5">
    <tableColumn id="1" name="DESPESAS COM FUNCIONAMENTO" totalsRowLabel="Total de Funcionamento" dataDxfId="249" totalsRowDxfId="248"/>
    <tableColumn id="2" name="ESTIMADO" totalsRowFunction="custom" dataDxfId="247" totalsRowDxfId="246">
      <totalsRowFormula>SUBTOTAL(9,TabelaDeDespesasOperacionais71214172226303438[ESTIMADO])</totalsRowFormula>
    </tableColumn>
    <tableColumn id="3" name="REAL" totalsRowFunction="custom" dataDxfId="245" totalsRowDxfId="244">
      <totalsRowFormula>SUBTOTAL(9,TabelaDeDespesasOperacionais71214172226303438[REAL])</totalsRowFormula>
    </tableColumn>
    <tableColumn id="5" name="5 Maiores Quantias" totalsRowFunction="custom" dataDxfId="243" totalsRowDxfId="242">
      <calculatedColumnFormula>TabelaDeDespesasOperacionais71214172226303438[[#This Row],[REAL]]+(10^-6)*ROW(TabelaDeDespesasOperacionais71214172226303438[[#This Row],[REAL]])</calculatedColumnFormula>
      <totalsRowFormula>SUBTOTAL(9,TabelaDeDespesasOperacionais71214172226303438[5 Maiores Quantias])</totalsRowFormula>
    </tableColumn>
    <tableColumn id="4" name="DIFERENÇA" totalsRowFunction="custom" dataDxfId="241" totalsRowDxfId="240">
      <calculatedColumnFormula>TabelaDeDespesasOperacionais71214172226303438[[#This Row],[ESTIMADO]]-TabelaDeDespesasOperacionais71214172226303438[[#This Row],[REAL]]</calculatedColumnFormula>
      <totalsRowFormula>SUBTOTAL(9,TabelaDeDespesasOperacionais71214172226303438[DIFERENÇA])</totalsRowFormula>
    </tableColumn>
  </tableColumns>
  <tableStyleInfo name="Monthly Budget" showFirstColumn="0" showLastColumn="0" showRowStripes="0" showColumnStripes="0"/>
</table>
</file>

<file path=xl/tables/table54.xml><?xml version="1.0" encoding="utf-8"?>
<table xmlns="http://schemas.openxmlformats.org/spreadsheetml/2006/main" id="38" name="TabelaDeRendimentos81315192327313539" displayName="TabelaDeRendimentos81315192327313539" ref="B4:F9" totalsRowCount="1" headerRowDxfId="239" totalsRowDxfId="238">
  <autoFilter ref="B4:F8"/>
  <tableColumns count="5">
    <tableColumn id="1" name="RENDIMENTOS" totalsRowLabel="Total Rendimentos" dataDxfId="237" totalsRowDxfId="236"/>
    <tableColumn id="2" name="ESTIMADO" totalsRowFunction="custom" dataDxfId="235" totalsRowDxfId="234">
      <totalsRowFormula>SUBTOTAL(9,TabelaDeRendimentos81315192327313539[ESTIMADO])</totalsRowFormula>
    </tableColumn>
    <tableColumn id="3" name="REAL" totalsRowFunction="custom" dataDxfId="233" totalsRowDxfId="232">
      <totalsRowFormula>SUBTOTAL(9,TabelaDeRendimentos81315192327313539[REAL])</totalsRowFormula>
    </tableColumn>
    <tableColumn id="5" name="5 Maiores Quantias" totalsRowFunction="custom" dataDxfId="231" totalsRowDxfId="230">
      <calculatedColumnFormula>TabelaDeRendimentos81315192327313539[[#This Row],[REAL]]+(10^-6)*ROW(TabelaDeRendimentos81315192327313539[[#This Row],[REAL]])</calculatedColumnFormula>
      <totalsRowFormula>SUBTOTAL(9,TabelaDeRendimentos81315192327313539[5 Maiores Quantias])</totalsRowFormula>
    </tableColumn>
    <tableColumn id="4" name="DIFERENÇA" totalsRowFunction="custom" dataDxfId="229" totalsRowDxfId="228">
      <calculatedColumnFormula>TabelaDeRendimentos81315192327313539[[#This Row],[REAL]]-TabelaDeRendimentos81315192327313539[[#This Row],[ESTIMADO]]</calculatedColumnFormula>
      <totalsRowFormula>SUBTOTAL(9,TabelaDeRendimentos81315192327313539[DIFERENÇA])</totalsRowFormula>
    </tableColumn>
  </tableColumns>
  <tableStyleInfo name="Monthly Budget" showFirstColumn="0" showLastColumn="0" showRowStripes="0" showColumnStripes="0"/>
</table>
</file>

<file path=xl/tables/table55.xml><?xml version="1.0" encoding="utf-8"?>
<table xmlns="http://schemas.openxmlformats.org/spreadsheetml/2006/main" id="39" name="TabelaDeTotais91416202428323640" displayName="TabelaDeTotais91416202428323640" ref="H4:K7" totalsRowCount="1" headerRowDxfId="227" totalsRowDxfId="226">
  <autoFilter ref="H4:K6"/>
  <tableColumns count="4">
    <tableColumn id="1" name="TOTAL ORÇAMENTAL" totalsRowLabel="Balanço (Rendimento menos Despesas)" totalsRowDxfId="225"/>
    <tableColumn id="2" name="ESTIMADO" totalsRowFunction="custom" totalsRowDxfId="224">
      <totalsRowFormula>I5-I6</totalsRowFormula>
    </tableColumn>
    <tableColumn id="3" name="REAL" totalsRowFunction="custom" totalsRowDxfId="223">
      <totalsRowFormula>J5-J6</totalsRowFormula>
    </tableColumn>
    <tableColumn id="4" name="DIFERENÇA" totalsRowFunction="custom" totalsRowDxfId="222">
      <totalsRowFormula>TabelaDeTotais91416202428323640[[#Totals],[REAL]]-TabelaDeTotais91416202428323640[[#Totals],[ESTIMADO]]</totalsRowFormula>
    </tableColumn>
  </tableColumns>
  <tableStyleInfo name="Monthly Budget" showFirstColumn="0" showLastColumn="1" showRowStripes="0" showColumnStripes="0"/>
</table>
</file>

<file path=xl/tables/table56.xml><?xml version="1.0" encoding="utf-8"?>
<table xmlns="http://schemas.openxmlformats.org/spreadsheetml/2006/main" id="40" name="TabelaDeDespesasDePessoal111618212529333741" displayName="TabelaDeDespesasDePessoal111618212529333741" ref="B11:F16" totalsRowCount="1" headerRowDxfId="221" totalsRowDxfId="220">
  <autoFilter ref="B11:F15"/>
  <tableColumns count="5">
    <tableColumn id="1" name="DESPESAS COM PESSOAL" totalsRowLabel="Total de Pessoal" dataDxfId="219" totalsRowDxfId="218"/>
    <tableColumn id="2" name="ESTIMADO" totalsRowFunction="custom" dataDxfId="217" totalsRowDxfId="216">
      <totalsRowFormula>SUBTOTAL(9,TabelaDeDespesasDePessoal111618212529333741[ESTIMADO])</totalsRowFormula>
    </tableColumn>
    <tableColumn id="3" name="REAL" totalsRowFunction="custom" dataDxfId="215" totalsRowDxfId="214">
      <totalsRowFormula>SUBTOTAL(9,TabelaDeDespesasDePessoal111618212529333741[REAL])</totalsRowFormula>
    </tableColumn>
    <tableColumn id="4" name="5 Maiores Quantias" totalsRowFunction="custom" dataDxfId="213" totalsRowDxfId="212">
      <calculatedColumnFormula>TabelaDeDespesasDePessoal111618212529333741[[#This Row],[REAL]]+(10^-6)*ROW(TabelaDeDespesasDePessoal111618212529333741[[#This Row],[REAL]])</calculatedColumnFormula>
      <totalsRowFormula>SUBTOTAL(9,TabelaDeDespesasDePessoal111618212529333741[5 Maiores Quantias])</totalsRowFormula>
    </tableColumn>
    <tableColumn id="5" name="DIFERENÇA" totalsRowFunction="custom" dataDxfId="211" totalsRowDxfId="210">
      <calculatedColumnFormula>TabelaDeDespesasDePessoal111618212529333741[[#This Row],[ESTIMADO]]-TabelaDeDespesasDePessoal111618212529333741[[#This Row],[REAL]]</calculatedColumnFormula>
      <totalsRowFormula>SUBTOTAL(9,TabelaDeDespesasDePessoal111618212529333741[DIFERENÇA])</totalsRowFormula>
    </tableColumn>
  </tableColumns>
  <tableStyleInfo name="Monthly Budget" showFirstColumn="0" showLastColumn="0" showRowStripes="0" showColumnStripes="0"/>
</table>
</file>

<file path=xl/tables/table57.xml><?xml version="1.0" encoding="utf-8"?>
<table xmlns="http://schemas.openxmlformats.org/spreadsheetml/2006/main" id="41" name="TabelaDeDespesasOperacionais7121417222630343842" displayName="TabelaDeDespesasOperacionais7121417222630343842" ref="B18:F31" totalsRowCount="1" headerRowDxfId="209" totalsRowDxfId="208">
  <autoFilter ref="B18:F30"/>
  <sortState ref="B19:F39">
    <sortCondition ref="B16:B37"/>
  </sortState>
  <tableColumns count="5">
    <tableColumn id="1" name="DESPESAS COM FUNCIONAMENTO" totalsRowLabel="Total de Funcionamento" dataDxfId="207" totalsRowDxfId="206"/>
    <tableColumn id="2" name="ESTIMADO" totalsRowFunction="custom" dataDxfId="205" totalsRowDxfId="204">
      <totalsRowFormula>SUBTOTAL(9,TabelaDeDespesasOperacionais7121417222630343842[ESTIMADO])</totalsRowFormula>
    </tableColumn>
    <tableColumn id="3" name="REAL" totalsRowFunction="custom" dataDxfId="203" totalsRowDxfId="202">
      <totalsRowFormula>SUBTOTAL(9,TabelaDeDespesasOperacionais7121417222630343842[REAL])</totalsRowFormula>
    </tableColumn>
    <tableColumn id="5" name="5 Maiores Quantias" totalsRowFunction="custom" dataDxfId="201" totalsRowDxfId="200">
      <calculatedColumnFormula>TabelaDeDespesasOperacionais7121417222630343842[[#This Row],[REAL]]+(10^-6)*ROW(TabelaDeDespesasOperacionais7121417222630343842[[#This Row],[REAL]])</calculatedColumnFormula>
      <totalsRowFormula>SUBTOTAL(9,TabelaDeDespesasOperacionais7121417222630343842[5 Maiores Quantias])</totalsRowFormula>
    </tableColumn>
    <tableColumn id="4" name="DIFERENÇA" totalsRowFunction="custom" dataDxfId="199" totalsRowDxfId="198">
      <calculatedColumnFormula>TabelaDeDespesasOperacionais7121417222630343842[[#This Row],[ESTIMADO]]-TabelaDeDespesasOperacionais7121417222630343842[[#This Row],[REAL]]</calculatedColumnFormula>
      <totalsRowFormula>SUBTOTAL(9,TabelaDeDespesasOperacionais7121417222630343842[DIFERENÇA])</totalsRowFormula>
    </tableColumn>
  </tableColumns>
  <tableStyleInfo name="Monthly Budget" showFirstColumn="0" showLastColumn="0" showRowStripes="0" showColumnStripes="0"/>
</table>
</file>

<file path=xl/tables/table58.xml><?xml version="1.0" encoding="utf-8"?>
<table xmlns="http://schemas.openxmlformats.org/spreadsheetml/2006/main" id="42" name="TabelaDeRendimentos8131519232731353943" displayName="TabelaDeRendimentos8131519232731353943" ref="B4:F9" totalsRowCount="1" headerRowDxfId="197" totalsRowDxfId="196">
  <autoFilter ref="B4:F8"/>
  <tableColumns count="5">
    <tableColumn id="1" name="RENDIMENTOS" totalsRowLabel="Total Rendimentos" dataDxfId="195" totalsRowDxfId="194"/>
    <tableColumn id="2" name="ESTIMADO" totalsRowFunction="custom" dataDxfId="193" totalsRowDxfId="192">
      <totalsRowFormula>SUBTOTAL(9,TabelaDeRendimentos8131519232731353943[ESTIMADO])</totalsRowFormula>
    </tableColumn>
    <tableColumn id="3" name="REAL" totalsRowFunction="custom" dataDxfId="191" totalsRowDxfId="190">
      <totalsRowFormula>SUBTOTAL(9,TabelaDeRendimentos8131519232731353943[REAL])</totalsRowFormula>
    </tableColumn>
    <tableColumn id="5" name="5 Maiores Quantias" totalsRowFunction="custom" dataDxfId="189" totalsRowDxfId="188">
      <calculatedColumnFormula>TabelaDeRendimentos8131519232731353943[[#This Row],[REAL]]+(10^-6)*ROW(TabelaDeRendimentos8131519232731353943[[#This Row],[REAL]])</calculatedColumnFormula>
      <totalsRowFormula>SUBTOTAL(9,TabelaDeRendimentos8131519232731353943[5 Maiores Quantias])</totalsRowFormula>
    </tableColumn>
    <tableColumn id="4" name="DIFERENÇA" totalsRowFunction="custom" dataDxfId="187" totalsRowDxfId="186">
      <calculatedColumnFormula>TabelaDeRendimentos8131519232731353943[[#This Row],[REAL]]-TabelaDeRendimentos8131519232731353943[[#This Row],[ESTIMADO]]</calculatedColumnFormula>
      <totalsRowFormula>SUBTOTAL(9,TabelaDeRendimentos8131519232731353943[DIFERENÇA])</totalsRowFormula>
    </tableColumn>
  </tableColumns>
  <tableStyleInfo name="Monthly Budget" showFirstColumn="0" showLastColumn="0" showRowStripes="0" showColumnStripes="0"/>
</table>
</file>

<file path=xl/tables/table59.xml><?xml version="1.0" encoding="utf-8"?>
<table xmlns="http://schemas.openxmlformats.org/spreadsheetml/2006/main" id="43" name="TabelaDeTotais9141620242832364044" displayName="TabelaDeTotais9141620242832364044" ref="H4:K7" totalsRowCount="1" headerRowDxfId="185" totalsRowDxfId="184">
  <autoFilter ref="H4:K6"/>
  <tableColumns count="4">
    <tableColumn id="1" name="TOTAL ORÇAMENTAL" totalsRowLabel="Balanço (Rendimento menos Despesas)" totalsRowDxfId="183"/>
    <tableColumn id="2" name="ESTIMADO" totalsRowFunction="custom" totalsRowDxfId="182">
      <totalsRowFormula>I5-I6</totalsRowFormula>
    </tableColumn>
    <tableColumn id="3" name="REAL" totalsRowFunction="custom" totalsRowDxfId="181">
      <totalsRowFormula>J5-J6</totalsRowFormula>
    </tableColumn>
    <tableColumn id="4" name="DIFERENÇA" totalsRowFunction="custom" totalsRowDxfId="180">
      <totalsRowFormula>TabelaDeTotais9141620242832364044[[#Totals],[REAL]]-TabelaDeTotais9141620242832364044[[#Totals],[ESTIMADO]]</totalsRowFormula>
    </tableColumn>
  </tableColumns>
  <tableStyleInfo name="Monthly Budget" showFirstColumn="0" showLastColumn="1" showRowStripes="0" showColumnStripes="0"/>
</table>
</file>

<file path=xl/tables/table6.xml><?xml version="1.0" encoding="utf-8"?>
<table xmlns="http://schemas.openxmlformats.org/spreadsheetml/2006/main" id="78" name="TabelaDeRendimentos813156379" displayName="TabelaDeRendimentos813156379" ref="B4:F9" totalsRowCount="1" headerRowDxfId="743" totalsRowDxfId="742">
  <autoFilter ref="B4:F8"/>
  <tableColumns count="5">
    <tableColumn id="1" name="RENDIMENTOS" totalsRowLabel="Total Rendimentos" dataDxfId="741" totalsRowDxfId="740"/>
    <tableColumn id="2" name="ESTIMADO" totalsRowFunction="custom" dataDxfId="739" totalsRowDxfId="738">
      <calculatedColumnFormula>TabelaDeRendimentos81315192327[[#This Row],[ESTIMADO]]+TabelaDeRendimentos8131519232731[[#This Row],[ESTIMADO]]+TabelaDeRendimentos813151923273135[[#This Row],[ESTIMADO]]</calculatedColumnFormula>
      <totalsRowFormula>SUBTOTAL(9,TabelaDeRendimentos813156379[ESTIMADO])</totalsRowFormula>
    </tableColumn>
    <tableColumn id="3" name="REAL" totalsRowFunction="custom" dataDxfId="737" totalsRowDxfId="736">
      <calculatedColumnFormula>TabelaDeRendimentos81315192327[[#This Row],[REAL]]+TabelaDeRendimentos8131519232731[[#This Row],[REAL]]+TabelaDeRendimentos813151923273135[[#This Row],[REAL]]</calculatedColumnFormula>
      <totalsRowFormula>SUBTOTAL(9,TabelaDeRendimentos813156379[REAL])</totalsRowFormula>
    </tableColumn>
    <tableColumn id="5" name="5 Maiores Quantias" totalsRowFunction="custom" dataDxfId="735" totalsRowDxfId="734">
      <calculatedColumnFormula>TabelaDeRendimentos813156379[[#This Row],[REAL]]+(10^-6)*ROW(TabelaDeRendimentos813156379[[#This Row],[REAL]])</calculatedColumnFormula>
      <totalsRowFormula>SUBTOTAL(9,TabelaDeRendimentos813156379[5 Maiores Quantias])</totalsRowFormula>
    </tableColumn>
    <tableColumn id="4" name="DIFERENÇA" totalsRowFunction="custom" dataDxfId="733" totalsRowDxfId="732">
      <calculatedColumnFormula>TabelaDeRendimentos813156379[[#This Row],[REAL]]-TabelaDeRendimentos813156379[[#This Row],[ESTIMADO]]</calculatedColumnFormula>
      <totalsRowFormula>SUBTOTAL(9,TabelaDeRendimentos813156379[DIFERENÇA])</totalsRowFormula>
    </tableColumn>
  </tableColumns>
  <tableStyleInfo name="Monthly Budget" showFirstColumn="0" showLastColumn="0" showRowStripes="0" showColumnStripes="0"/>
</table>
</file>

<file path=xl/tables/table60.xml><?xml version="1.0" encoding="utf-8"?>
<table xmlns="http://schemas.openxmlformats.org/spreadsheetml/2006/main" id="44" name="TabelaDeDespesasDePessoal11161821252933374145" displayName="TabelaDeDespesasDePessoal11161821252933374145" ref="B11:F16" totalsRowCount="1" headerRowDxfId="179" totalsRowDxfId="178">
  <autoFilter ref="B11:F15"/>
  <tableColumns count="5">
    <tableColumn id="1" name="DESPESAS COM PESSOAL" totalsRowLabel="Total de Pessoal" dataDxfId="177" totalsRowDxfId="176"/>
    <tableColumn id="2" name="ESTIMADO" totalsRowFunction="custom" dataDxfId="175" totalsRowDxfId="174">
      <totalsRowFormula>SUBTOTAL(9,TabelaDeDespesasDePessoal11161821252933374145[ESTIMADO])</totalsRowFormula>
    </tableColumn>
    <tableColumn id="3" name="REAL" totalsRowFunction="custom" dataDxfId="173" totalsRowDxfId="172">
      <totalsRowFormula>SUBTOTAL(9,TabelaDeDespesasDePessoal11161821252933374145[REAL])</totalsRowFormula>
    </tableColumn>
    <tableColumn id="4" name="5 Maiores Quantias" totalsRowFunction="custom" dataDxfId="171" totalsRowDxfId="170">
      <calculatedColumnFormula>TabelaDeDespesasDePessoal11161821252933374145[[#This Row],[REAL]]+(10^-6)*ROW(TabelaDeDespesasDePessoal11161821252933374145[[#This Row],[REAL]])</calculatedColumnFormula>
      <totalsRowFormula>SUBTOTAL(9,TabelaDeDespesasDePessoal11161821252933374145[5 Maiores Quantias])</totalsRowFormula>
    </tableColumn>
    <tableColumn id="5" name="DIFERENÇA" totalsRowFunction="custom" dataDxfId="169" totalsRowDxfId="168">
      <calculatedColumnFormula>TabelaDeDespesasDePessoal11161821252933374145[[#This Row],[ESTIMADO]]-TabelaDeDespesasDePessoal11161821252933374145[[#This Row],[REAL]]</calculatedColumnFormula>
      <totalsRowFormula>SUBTOTAL(9,TabelaDeDespesasDePessoal11161821252933374145[DIFERENÇA])</totalsRowFormula>
    </tableColumn>
  </tableColumns>
  <tableStyleInfo name="Monthly Budget" showFirstColumn="0" showLastColumn="0" showRowStripes="0" showColumnStripes="0"/>
</table>
</file>

<file path=xl/tables/table61.xml><?xml version="1.0" encoding="utf-8"?>
<table xmlns="http://schemas.openxmlformats.org/spreadsheetml/2006/main" id="45" name="TabelaDeDespesasOperacionais712141722263034384246" displayName="TabelaDeDespesasOperacionais712141722263034384246" ref="B18:F31" totalsRowCount="1" headerRowDxfId="167" totalsRowDxfId="166">
  <autoFilter ref="B18:F30"/>
  <sortState ref="B19:F39">
    <sortCondition ref="B16:B37"/>
  </sortState>
  <tableColumns count="5">
    <tableColumn id="1" name="DESPESAS COM FUNCIONAMENTO" totalsRowLabel="Total de Funcionamento" dataDxfId="165" totalsRowDxfId="164"/>
    <tableColumn id="2" name="ESTIMADO" totalsRowFunction="custom" dataDxfId="163" totalsRowDxfId="162">
      <totalsRowFormula>SUBTOTAL(9,TabelaDeDespesasOperacionais712141722263034384246[ESTIMADO])</totalsRowFormula>
    </tableColumn>
    <tableColumn id="3" name="REAL" totalsRowFunction="custom" dataDxfId="161" totalsRowDxfId="160">
      <totalsRowFormula>SUBTOTAL(9,TabelaDeDespesasOperacionais712141722263034384246[REAL])</totalsRowFormula>
    </tableColumn>
    <tableColumn id="5" name="5 Maiores Quantias" totalsRowFunction="custom" dataDxfId="159" totalsRowDxfId="158">
      <calculatedColumnFormula>TabelaDeDespesasOperacionais712141722263034384246[[#This Row],[REAL]]+(10^-6)*ROW(TabelaDeDespesasOperacionais712141722263034384246[[#This Row],[REAL]])</calculatedColumnFormula>
      <totalsRowFormula>SUBTOTAL(9,TabelaDeDespesasOperacionais712141722263034384246[5 Maiores Quantias])</totalsRowFormula>
    </tableColumn>
    <tableColumn id="4" name="DIFERENÇA" totalsRowFunction="custom" dataDxfId="157" totalsRowDxfId="156">
      <calculatedColumnFormula>TabelaDeDespesasOperacionais712141722263034384246[[#This Row],[ESTIMADO]]-TabelaDeDespesasOperacionais712141722263034384246[[#This Row],[REAL]]</calculatedColumnFormula>
      <totalsRowFormula>SUBTOTAL(9,TabelaDeDespesasOperacionais712141722263034384246[DIFERENÇA])</totalsRowFormula>
    </tableColumn>
  </tableColumns>
  <tableStyleInfo name="Monthly Budget" showFirstColumn="0" showLastColumn="0" showRowStripes="0" showColumnStripes="0"/>
</table>
</file>

<file path=xl/tables/table62.xml><?xml version="1.0" encoding="utf-8"?>
<table xmlns="http://schemas.openxmlformats.org/spreadsheetml/2006/main" id="46" name="TabelaDeRendimentos813151923273135394347" displayName="TabelaDeRendimentos813151923273135394347" ref="B4:F9" totalsRowCount="1" headerRowDxfId="155" totalsRowDxfId="154">
  <autoFilter ref="B4:F8"/>
  <tableColumns count="5">
    <tableColumn id="1" name="RENDIMENTOS" totalsRowLabel="Total Rendimentos" dataDxfId="153" totalsRowDxfId="152"/>
    <tableColumn id="2" name="ESTIMADO" totalsRowFunction="custom" dataDxfId="151" totalsRowDxfId="150">
      <totalsRowFormula>SUBTOTAL(9,TabelaDeRendimentos813151923273135394347[ESTIMADO])</totalsRowFormula>
    </tableColumn>
    <tableColumn id="3" name="REAL" totalsRowFunction="custom" dataDxfId="149" totalsRowDxfId="148">
      <totalsRowFormula>SUBTOTAL(9,TabelaDeRendimentos813151923273135394347[REAL])</totalsRowFormula>
    </tableColumn>
    <tableColumn id="5" name="5 Maiores Quantias" totalsRowFunction="custom" dataDxfId="147" totalsRowDxfId="146">
      <calculatedColumnFormula>TabelaDeRendimentos813151923273135394347[[#This Row],[REAL]]+(10^-6)*ROW(TabelaDeRendimentos813151923273135394347[[#This Row],[REAL]])</calculatedColumnFormula>
      <totalsRowFormula>SUBTOTAL(9,TabelaDeRendimentos813151923273135394347[5 Maiores Quantias])</totalsRowFormula>
    </tableColumn>
    <tableColumn id="4" name="DIFERENÇA" totalsRowFunction="custom" dataDxfId="145" totalsRowDxfId="144">
      <calculatedColumnFormula>TabelaDeRendimentos813151923273135394347[[#This Row],[REAL]]-TabelaDeRendimentos813151923273135394347[[#This Row],[ESTIMADO]]</calculatedColumnFormula>
      <totalsRowFormula>SUBTOTAL(9,TabelaDeRendimentos813151923273135394347[DIFERENÇA])</totalsRowFormula>
    </tableColumn>
  </tableColumns>
  <tableStyleInfo name="Monthly Budget" showFirstColumn="0" showLastColumn="0" showRowStripes="0" showColumnStripes="0"/>
</table>
</file>

<file path=xl/tables/table63.xml><?xml version="1.0" encoding="utf-8"?>
<table xmlns="http://schemas.openxmlformats.org/spreadsheetml/2006/main" id="47" name="TabelaDeTotais914162024283236404448" displayName="TabelaDeTotais914162024283236404448" ref="H4:K7" totalsRowCount="1" headerRowDxfId="143" totalsRowDxfId="142">
  <autoFilter ref="H4:K6"/>
  <tableColumns count="4">
    <tableColumn id="1" name="TOTAL ORÇAMENTAL" totalsRowLabel="Balanço (Rendimento menos Despesas)" totalsRowDxfId="141"/>
    <tableColumn id="2" name="ESTIMADO" totalsRowFunction="custom" totalsRowDxfId="140">
      <totalsRowFormula>I5-I6</totalsRowFormula>
    </tableColumn>
    <tableColumn id="3" name="REAL" totalsRowFunction="custom" totalsRowDxfId="139">
      <totalsRowFormula>J5-J6</totalsRowFormula>
    </tableColumn>
    <tableColumn id="4" name="DIFERENÇA" totalsRowFunction="custom" totalsRowDxfId="138">
      <totalsRowFormula>TabelaDeTotais914162024283236404448[[#Totals],[REAL]]-TabelaDeTotais914162024283236404448[[#Totals],[ESTIMADO]]</totalsRowFormula>
    </tableColumn>
  </tableColumns>
  <tableStyleInfo name="Monthly Budget" showFirstColumn="0" showLastColumn="1" showRowStripes="0" showColumnStripes="0"/>
</table>
</file>

<file path=xl/tables/table64.xml><?xml version="1.0" encoding="utf-8"?>
<table xmlns="http://schemas.openxmlformats.org/spreadsheetml/2006/main" id="48" name="TabelaDeDespesasDePessoal1116182125293337414549" displayName="TabelaDeDespesasDePessoal1116182125293337414549" ref="B11:F16" totalsRowCount="1" headerRowDxfId="137" totalsRowDxfId="136">
  <autoFilter ref="B11:F15"/>
  <tableColumns count="5">
    <tableColumn id="1" name="DESPESAS COM PESSOAL" totalsRowLabel="Total de Pessoal" dataDxfId="135" totalsRowDxfId="134"/>
    <tableColumn id="2" name="ESTIMADO" totalsRowFunction="custom" dataDxfId="133" totalsRowDxfId="132">
      <totalsRowFormula>SUBTOTAL(9,TabelaDeDespesasDePessoal1116182125293337414549[ESTIMADO])</totalsRowFormula>
    </tableColumn>
    <tableColumn id="3" name="REAL" totalsRowFunction="custom" dataDxfId="131" totalsRowDxfId="130">
      <totalsRowFormula>SUBTOTAL(9,TabelaDeDespesasDePessoal1116182125293337414549[REAL])</totalsRowFormula>
    </tableColumn>
    <tableColumn id="4" name="5 Maiores Quantias" totalsRowFunction="custom" dataDxfId="129" totalsRowDxfId="128">
      <calculatedColumnFormula>TabelaDeDespesasDePessoal1116182125293337414549[[#This Row],[REAL]]+(10^-6)*ROW(TabelaDeDespesasDePessoal1116182125293337414549[[#This Row],[REAL]])</calculatedColumnFormula>
      <totalsRowFormula>SUBTOTAL(9,TabelaDeDespesasDePessoal1116182125293337414549[5 Maiores Quantias])</totalsRowFormula>
    </tableColumn>
    <tableColumn id="5" name="DIFERENÇA" totalsRowFunction="custom" dataDxfId="127" totalsRowDxfId="126">
      <calculatedColumnFormula>TabelaDeDespesasDePessoal1116182125293337414549[[#This Row],[ESTIMADO]]-TabelaDeDespesasDePessoal1116182125293337414549[[#This Row],[REAL]]</calculatedColumnFormula>
      <totalsRowFormula>SUBTOTAL(9,TabelaDeDespesasDePessoal1116182125293337414549[DIFERENÇA])</totalsRowFormula>
    </tableColumn>
  </tableColumns>
  <tableStyleInfo name="Monthly Budget" showFirstColumn="0" showLastColumn="0" showRowStripes="0" showColumnStripes="0"/>
</table>
</file>

<file path=xl/tables/table65.xml><?xml version="1.0" encoding="utf-8"?>
<table xmlns="http://schemas.openxmlformats.org/spreadsheetml/2006/main" id="49" name="TabelaDeDespesasOperacionais71214172226303438424650" displayName="TabelaDeDespesasOperacionais71214172226303438424650" ref="B18:F31" totalsRowCount="1" headerRowDxfId="125" totalsRowDxfId="124">
  <autoFilter ref="B18:F30"/>
  <sortState ref="B19:F39">
    <sortCondition ref="B16:B37"/>
  </sortState>
  <tableColumns count="5">
    <tableColumn id="1" name="DESPESAS COM FUNCIONAMENTO" totalsRowLabel="Total de Funcionamento" dataDxfId="123" totalsRowDxfId="122"/>
    <tableColumn id="2" name="ESTIMADO" totalsRowFunction="custom" dataDxfId="121" totalsRowDxfId="120">
      <totalsRowFormula>SUBTOTAL(9,TabelaDeDespesasOperacionais71214172226303438424650[ESTIMADO])</totalsRowFormula>
    </tableColumn>
    <tableColumn id="3" name="REAL" totalsRowFunction="custom" dataDxfId="119" totalsRowDxfId="118">
      <totalsRowFormula>SUBTOTAL(9,TabelaDeDespesasOperacionais71214172226303438424650[REAL])</totalsRowFormula>
    </tableColumn>
    <tableColumn id="5" name="5 Maiores Quantias" totalsRowFunction="custom" dataDxfId="117" totalsRowDxfId="116">
      <calculatedColumnFormula>TabelaDeDespesasOperacionais71214172226303438424650[[#This Row],[REAL]]+(10^-6)*ROW(TabelaDeDespesasOperacionais71214172226303438424650[[#This Row],[REAL]])</calculatedColumnFormula>
      <totalsRowFormula>SUBTOTAL(9,TabelaDeDespesasOperacionais71214172226303438424650[5 Maiores Quantias])</totalsRowFormula>
    </tableColumn>
    <tableColumn id="4" name="DIFERENÇA" totalsRowFunction="custom" dataDxfId="115" totalsRowDxfId="114">
      <calculatedColumnFormula>TabelaDeDespesasOperacionais71214172226303438424650[[#This Row],[ESTIMADO]]-TabelaDeDespesasOperacionais71214172226303438424650[[#This Row],[REAL]]</calculatedColumnFormula>
      <totalsRowFormula>SUBTOTAL(9,TabelaDeDespesasOperacionais71214172226303438424650[DIFERENÇA])</totalsRowFormula>
    </tableColumn>
  </tableColumns>
  <tableStyleInfo name="Monthly Budget" showFirstColumn="0" showLastColumn="0" showRowStripes="0" showColumnStripes="0"/>
</table>
</file>

<file path=xl/tables/table66.xml><?xml version="1.0" encoding="utf-8"?>
<table xmlns="http://schemas.openxmlformats.org/spreadsheetml/2006/main" id="50" name="TabelaDeRendimentos81315192327313539434751" displayName="TabelaDeRendimentos81315192327313539434751" ref="B4:F9" totalsRowCount="1" headerRowDxfId="113" totalsRowDxfId="112">
  <autoFilter ref="B4:F8"/>
  <tableColumns count="5">
    <tableColumn id="1" name="RENDIMENTOS" totalsRowLabel="Total Rendimentos" dataDxfId="111" totalsRowDxfId="110"/>
    <tableColumn id="2" name="ESTIMADO" totalsRowFunction="custom" dataDxfId="109" totalsRowDxfId="108">
      <totalsRowFormula>SUBTOTAL(9,TabelaDeRendimentos81315192327313539434751[ESTIMADO])</totalsRowFormula>
    </tableColumn>
    <tableColumn id="3" name="REAL" totalsRowFunction="custom" dataDxfId="107" totalsRowDxfId="106">
      <totalsRowFormula>SUBTOTAL(9,TabelaDeRendimentos81315192327313539434751[REAL])</totalsRowFormula>
    </tableColumn>
    <tableColumn id="5" name="5 Maiores Quantias" totalsRowFunction="custom" dataDxfId="105" totalsRowDxfId="104">
      <calculatedColumnFormula>TabelaDeRendimentos81315192327313539434751[[#This Row],[REAL]]+(10^-6)*ROW(TabelaDeRendimentos81315192327313539434751[[#This Row],[REAL]])</calculatedColumnFormula>
      <totalsRowFormula>SUBTOTAL(9,TabelaDeRendimentos81315192327313539434751[5 Maiores Quantias])</totalsRowFormula>
    </tableColumn>
    <tableColumn id="4" name="DIFERENÇA" totalsRowFunction="custom" dataDxfId="103" totalsRowDxfId="102">
      <calculatedColumnFormula>TabelaDeRendimentos81315192327313539434751[[#This Row],[REAL]]-TabelaDeRendimentos81315192327313539434751[[#This Row],[ESTIMADO]]</calculatedColumnFormula>
      <totalsRowFormula>SUBTOTAL(9,TabelaDeRendimentos81315192327313539434751[DIFERENÇA])</totalsRowFormula>
    </tableColumn>
  </tableColumns>
  <tableStyleInfo name="Monthly Budget" showFirstColumn="0" showLastColumn="0" showRowStripes="0" showColumnStripes="0"/>
</table>
</file>

<file path=xl/tables/table67.xml><?xml version="1.0" encoding="utf-8"?>
<table xmlns="http://schemas.openxmlformats.org/spreadsheetml/2006/main" id="51" name="TabelaDeTotais91416202428323640444852" displayName="TabelaDeTotais91416202428323640444852" ref="H4:K7" totalsRowCount="1" headerRowDxfId="101" totalsRowDxfId="100">
  <autoFilter ref="H4:K6"/>
  <tableColumns count="4">
    <tableColumn id="1" name="TOTAL ORÇAMENTAL" totalsRowLabel="Balanço (Rendimento menos Despesas)" totalsRowDxfId="99"/>
    <tableColumn id="2" name="ESTIMADO" totalsRowFunction="custom" totalsRowDxfId="98">
      <totalsRowFormula>I5-I6</totalsRowFormula>
    </tableColumn>
    <tableColumn id="3" name="REAL" totalsRowFunction="custom" totalsRowDxfId="97">
      <totalsRowFormula>J5-J6</totalsRowFormula>
    </tableColumn>
    <tableColumn id="4" name="DIFERENÇA" totalsRowFunction="custom" totalsRowDxfId="96">
      <totalsRowFormula>TabelaDeTotais91416202428323640444852[[#Totals],[REAL]]-TabelaDeTotais91416202428323640444852[[#Totals],[ESTIMADO]]</totalsRowFormula>
    </tableColumn>
  </tableColumns>
  <tableStyleInfo name="Monthly Budget" showFirstColumn="0" showLastColumn="1" showRowStripes="0" showColumnStripes="0"/>
</table>
</file>

<file path=xl/tables/table68.xml><?xml version="1.0" encoding="utf-8"?>
<table xmlns="http://schemas.openxmlformats.org/spreadsheetml/2006/main" id="52" name="TabelaDeDespesasDePessoal111618212529333741454953" displayName="TabelaDeDespesasDePessoal111618212529333741454953" ref="B11:F16" totalsRowCount="1" headerRowDxfId="95" totalsRowDxfId="94">
  <autoFilter ref="B11:F15"/>
  <tableColumns count="5">
    <tableColumn id="1" name="DESPESAS COM PESSOAL" totalsRowLabel="Total de Pessoal" dataDxfId="93" totalsRowDxfId="92"/>
    <tableColumn id="2" name="ESTIMADO" totalsRowFunction="custom" dataDxfId="91" totalsRowDxfId="90">
      <totalsRowFormula>SUBTOTAL(9,TabelaDeDespesasDePessoal111618212529333741454953[ESTIMADO])</totalsRowFormula>
    </tableColumn>
    <tableColumn id="3" name="REAL" totalsRowFunction="custom" dataDxfId="89" totalsRowDxfId="88">
      <totalsRowFormula>SUBTOTAL(9,TabelaDeDespesasDePessoal111618212529333741454953[REAL])</totalsRowFormula>
    </tableColumn>
    <tableColumn id="4" name="5 Maiores Quantias" totalsRowFunction="custom" dataDxfId="87" totalsRowDxfId="86">
      <calculatedColumnFormula>TabelaDeDespesasDePessoal111618212529333741454953[[#This Row],[REAL]]+(10^-6)*ROW(TabelaDeDespesasDePessoal111618212529333741454953[[#This Row],[REAL]])</calculatedColumnFormula>
      <totalsRowFormula>SUBTOTAL(9,TabelaDeDespesasDePessoal111618212529333741454953[5 Maiores Quantias])</totalsRowFormula>
    </tableColumn>
    <tableColumn id="5" name="DIFERENÇA" totalsRowFunction="custom" dataDxfId="85" totalsRowDxfId="84">
      <calculatedColumnFormula>TabelaDeDespesasDePessoal111618212529333741454953[[#This Row],[ESTIMADO]]-TabelaDeDespesasDePessoal111618212529333741454953[[#This Row],[REAL]]</calculatedColumnFormula>
      <totalsRowFormula>SUBTOTAL(9,TabelaDeDespesasDePessoal111618212529333741454953[DIFERENÇA])</totalsRowFormula>
    </tableColumn>
  </tableColumns>
  <tableStyleInfo name="Monthly Budget" showFirstColumn="0" showLastColumn="0" showRowStripes="0" showColumnStripes="0"/>
</table>
</file>

<file path=xl/tables/table69.xml><?xml version="1.0" encoding="utf-8"?>
<table xmlns="http://schemas.openxmlformats.org/spreadsheetml/2006/main" id="53" name="TabelaDeDespesasOperacionais7121417222630343842465054" displayName="TabelaDeDespesasOperacionais7121417222630343842465054" ref="B18:F31" totalsRowCount="1" headerRowDxfId="83" totalsRowDxfId="82">
  <autoFilter ref="B18:F30"/>
  <sortState ref="B19:F39">
    <sortCondition ref="B16:B37"/>
  </sortState>
  <tableColumns count="5">
    <tableColumn id="1" name="DESPESAS COM FUNCIONAMENTO" totalsRowLabel="Total de Funcionamento" dataDxfId="81" totalsRowDxfId="80"/>
    <tableColumn id="2" name="ESTIMADO" totalsRowFunction="custom" dataDxfId="79" totalsRowDxfId="78">
      <totalsRowFormula>SUBTOTAL(9,TabelaDeDespesasOperacionais7121417222630343842465054[ESTIMADO])</totalsRowFormula>
    </tableColumn>
    <tableColumn id="3" name="REAL" totalsRowFunction="custom" dataDxfId="77" totalsRowDxfId="76">
      <totalsRowFormula>SUBTOTAL(9,TabelaDeDespesasOperacionais7121417222630343842465054[REAL])</totalsRowFormula>
    </tableColumn>
    <tableColumn id="5" name="5 Maiores Quantias" totalsRowFunction="custom" dataDxfId="75" totalsRowDxfId="74">
      <calculatedColumnFormula>TabelaDeDespesasOperacionais7121417222630343842465054[[#This Row],[REAL]]+(10^-6)*ROW(TabelaDeDespesasOperacionais7121417222630343842465054[[#This Row],[REAL]])</calculatedColumnFormula>
      <totalsRowFormula>SUBTOTAL(9,TabelaDeDespesasOperacionais7121417222630343842465054[5 Maiores Quantias])</totalsRowFormula>
    </tableColumn>
    <tableColumn id="4" name="DIFERENÇA" totalsRowFunction="custom" dataDxfId="73" totalsRowDxfId="72">
      <calculatedColumnFormula>TabelaDeDespesasOperacionais7121417222630343842465054[[#This Row],[ESTIMADO]]-TabelaDeDespesasOperacionais7121417222630343842465054[[#This Row],[REAL]]</calculatedColumnFormula>
      <totalsRowFormula>SUBTOTAL(9,TabelaDeDespesasOperacionais7121417222630343842465054[DIFERENÇA])</totalsRowFormula>
    </tableColumn>
  </tableColumns>
  <tableStyleInfo name="Monthly Budget" showFirstColumn="0" showLastColumn="0" showRowStripes="0" showColumnStripes="0"/>
</table>
</file>

<file path=xl/tables/table7.xml><?xml version="1.0" encoding="utf-8"?>
<table xmlns="http://schemas.openxmlformats.org/spreadsheetml/2006/main" id="79" name="TabelaDeTotais914166480" displayName="TabelaDeTotais914166480" ref="H4:K7" totalsRowCount="1" headerRowDxfId="731" totalsRowDxfId="730">
  <autoFilter ref="H4:K6"/>
  <tableColumns count="4">
    <tableColumn id="1" name="TOTAL ORÇAMENTAL" totalsRowLabel="Balanço (Rendimento menos Despesas)" totalsRowDxfId="729"/>
    <tableColumn id="2" name="ESTIMADO" totalsRowFunction="custom" totalsRowDxfId="728">
      <totalsRowFormula>I5-I6</totalsRowFormula>
    </tableColumn>
    <tableColumn id="3" name="REAL" totalsRowFunction="custom" totalsRowDxfId="727">
      <totalsRowFormula>J5-J6</totalsRowFormula>
    </tableColumn>
    <tableColumn id="4" name="DIFERENÇA" totalsRowFunction="custom" totalsRowDxfId="726">
      <totalsRowFormula>TabelaDeTotais914166480[[#Totals],[REAL]]-TabelaDeTotais914166480[[#Totals],[ESTIMADO]]</totalsRowFormula>
    </tableColumn>
  </tableColumns>
  <tableStyleInfo name="Monthly Budget" showFirstColumn="0" showLastColumn="1" showRowStripes="0" showColumnStripes="0"/>
</table>
</file>

<file path=xl/tables/table70.xml><?xml version="1.0" encoding="utf-8"?>
<table xmlns="http://schemas.openxmlformats.org/spreadsheetml/2006/main" id="54" name="TabelaDeRendimentos8131519232731353943475155" displayName="TabelaDeRendimentos8131519232731353943475155" ref="B4:F9" totalsRowCount="1" headerRowDxfId="71" totalsRowDxfId="70">
  <autoFilter ref="B4:F8"/>
  <tableColumns count="5">
    <tableColumn id="1" name="RENDIMENTOS" totalsRowLabel="Total Rendimentos" dataDxfId="69" totalsRowDxfId="68"/>
    <tableColumn id="2" name="ESTIMADO" totalsRowFunction="custom" dataDxfId="67" totalsRowDxfId="66">
      <totalsRowFormula>SUBTOTAL(9,TabelaDeRendimentos8131519232731353943475155[ESTIMADO])</totalsRowFormula>
    </tableColumn>
    <tableColumn id="3" name="REAL" totalsRowFunction="custom" dataDxfId="65" totalsRowDxfId="64">
      <totalsRowFormula>SUBTOTAL(9,TabelaDeRendimentos8131519232731353943475155[REAL])</totalsRowFormula>
    </tableColumn>
    <tableColumn id="5" name="5 Maiores Quantias" totalsRowFunction="custom" dataDxfId="63" totalsRowDxfId="62">
      <calculatedColumnFormula>TabelaDeRendimentos8131519232731353943475155[[#This Row],[REAL]]+(10^-6)*ROW(TabelaDeRendimentos8131519232731353943475155[[#This Row],[REAL]])</calculatedColumnFormula>
      <totalsRowFormula>SUBTOTAL(9,TabelaDeRendimentos8131519232731353943475155[5 Maiores Quantias])</totalsRowFormula>
    </tableColumn>
    <tableColumn id="4" name="DIFERENÇA" totalsRowFunction="custom" dataDxfId="61" totalsRowDxfId="60">
      <calculatedColumnFormula>TabelaDeRendimentos8131519232731353943475155[[#This Row],[REAL]]-TabelaDeRendimentos8131519232731353943475155[[#This Row],[ESTIMADO]]</calculatedColumnFormula>
      <totalsRowFormula>SUBTOTAL(9,TabelaDeRendimentos8131519232731353943475155[DIFERENÇA])</totalsRowFormula>
    </tableColumn>
  </tableColumns>
  <tableStyleInfo name="Monthly Budget" showFirstColumn="0" showLastColumn="0" showRowStripes="0" showColumnStripes="0"/>
</table>
</file>

<file path=xl/tables/table71.xml><?xml version="1.0" encoding="utf-8"?>
<table xmlns="http://schemas.openxmlformats.org/spreadsheetml/2006/main" id="55" name="TabelaDeTotais9141620242832364044485256" displayName="TabelaDeTotais9141620242832364044485256" ref="H4:K7" totalsRowCount="1" headerRowDxfId="59" totalsRowDxfId="58">
  <autoFilter ref="H4:K6"/>
  <tableColumns count="4">
    <tableColumn id="1" name="TOTAL ORÇAMENTAL" totalsRowLabel="Balanço (Rendimento menos Despesas)" totalsRowDxfId="57"/>
    <tableColumn id="2" name="ESTIMADO" totalsRowFunction="custom" totalsRowDxfId="56">
      <totalsRowFormula>I5-I6</totalsRowFormula>
    </tableColumn>
    <tableColumn id="3" name="REAL" totalsRowFunction="custom" totalsRowDxfId="55">
      <totalsRowFormula>J5-J6</totalsRowFormula>
    </tableColumn>
    <tableColumn id="4" name="DIFERENÇA" totalsRowFunction="custom" totalsRowDxfId="54">
      <totalsRowFormula>TabelaDeTotais9141620242832364044485256[[#Totals],[REAL]]-TabelaDeTotais9141620242832364044485256[[#Totals],[ESTIMADO]]</totalsRowFormula>
    </tableColumn>
  </tableColumns>
  <tableStyleInfo name="Monthly Budget" showFirstColumn="0" showLastColumn="1" showRowStripes="0" showColumnStripes="0"/>
</table>
</file>

<file path=xl/tables/table72.xml><?xml version="1.0" encoding="utf-8"?>
<table xmlns="http://schemas.openxmlformats.org/spreadsheetml/2006/main" id="56" name="TabelaDeDespesasDePessoal11161821252933374145495357" displayName="TabelaDeDespesasDePessoal11161821252933374145495357" ref="B11:F16" totalsRowCount="1" headerRowDxfId="53" totalsRowDxfId="52">
  <autoFilter ref="B11:F15"/>
  <tableColumns count="5">
    <tableColumn id="1" name="DESPESAS COM PESSOAL" totalsRowLabel="Total de Pessoal" dataDxfId="51" totalsRowDxfId="50"/>
    <tableColumn id="2" name="ESTIMADO" totalsRowFunction="custom" dataDxfId="49" totalsRowDxfId="48">
      <totalsRowFormula>SUBTOTAL(9,TabelaDeDespesasDePessoal11161821252933374145495357[ESTIMADO])</totalsRowFormula>
    </tableColumn>
    <tableColumn id="3" name="REAL" totalsRowFunction="custom" dataDxfId="47" totalsRowDxfId="46">
      <totalsRowFormula>SUBTOTAL(9,TabelaDeDespesasDePessoal11161821252933374145495357[REAL])</totalsRowFormula>
    </tableColumn>
    <tableColumn id="4" name="5 Maiores Quantias" totalsRowFunction="custom" dataDxfId="45" totalsRowDxfId="44">
      <calculatedColumnFormula>TabelaDeDespesasDePessoal11161821252933374145495357[[#This Row],[REAL]]+(10^-6)*ROW(TabelaDeDespesasDePessoal11161821252933374145495357[[#This Row],[REAL]])</calculatedColumnFormula>
      <totalsRowFormula>SUBTOTAL(9,TabelaDeDespesasDePessoal11161821252933374145495357[5 Maiores Quantias])</totalsRowFormula>
    </tableColumn>
    <tableColumn id="5" name="DIFERENÇA" totalsRowFunction="custom" dataDxfId="43" totalsRowDxfId="42">
      <calculatedColumnFormula>TabelaDeDespesasDePessoal11161821252933374145495357[[#This Row],[ESTIMADO]]-TabelaDeDespesasDePessoal11161821252933374145495357[[#This Row],[REAL]]</calculatedColumnFormula>
      <totalsRowFormula>SUBTOTAL(9,TabelaDeDespesasDePessoal11161821252933374145495357[DIFERENÇA])</totalsRowFormula>
    </tableColumn>
  </tableColumns>
  <tableStyleInfo name="Monthly Budget" showFirstColumn="0" showLastColumn="0" showRowStripes="0" showColumnStripes="0"/>
</table>
</file>

<file path=xl/tables/table73.xml><?xml version="1.0" encoding="utf-8"?>
<table xmlns="http://schemas.openxmlformats.org/spreadsheetml/2006/main" id="57" name="TabelaDeDespesasOperacionais712141722263034384246505458" displayName="TabelaDeDespesasOperacionais712141722263034384246505458" ref="B18:F31" totalsRowCount="1" headerRowDxfId="41" totalsRowDxfId="40">
  <autoFilter ref="B18:F30"/>
  <sortState ref="B19:F39">
    <sortCondition ref="B16:B37"/>
  </sortState>
  <tableColumns count="5">
    <tableColumn id="1" name="DESPESAS COM FUNCIONAMENTO" totalsRowLabel="Total de Funcionamento" dataDxfId="39" totalsRowDxfId="38"/>
    <tableColumn id="2" name="ESTIMADO" totalsRowFunction="custom" dataDxfId="37" totalsRowDxfId="36">
      <totalsRowFormula>SUBTOTAL(9,TabelaDeDespesasOperacionais712141722263034384246505458[ESTIMADO])</totalsRowFormula>
    </tableColumn>
    <tableColumn id="3" name="REAL" totalsRowFunction="custom" dataDxfId="35" totalsRowDxfId="34">
      <totalsRowFormula>SUBTOTAL(9,TabelaDeDespesasOperacionais712141722263034384246505458[REAL])</totalsRowFormula>
    </tableColumn>
    <tableColumn id="5" name="5 Maiores Quantias" totalsRowFunction="custom" dataDxfId="33" totalsRowDxfId="32">
      <calculatedColumnFormula>TabelaDeDespesasOperacionais712141722263034384246505458[[#This Row],[REAL]]+(10^-6)*ROW(TabelaDeDespesasOperacionais712141722263034384246505458[[#This Row],[REAL]])</calculatedColumnFormula>
      <totalsRowFormula>SUBTOTAL(9,TabelaDeDespesasOperacionais712141722263034384246505458[5 Maiores Quantias])</totalsRowFormula>
    </tableColumn>
    <tableColumn id="4" name="DIFERENÇA" totalsRowFunction="custom" dataDxfId="31" totalsRowDxfId="30">
      <calculatedColumnFormula>TabelaDeDespesasOperacionais712141722263034384246505458[[#This Row],[ESTIMADO]]-TabelaDeDespesasOperacionais712141722263034384246505458[[#This Row],[REAL]]</calculatedColumnFormula>
      <totalsRowFormula>SUBTOTAL(9,TabelaDeDespesasOperacionais712141722263034384246505458[DIFERENÇA])</totalsRowFormula>
    </tableColumn>
  </tableColumns>
  <tableStyleInfo name="Monthly Budget" showFirstColumn="0" showLastColumn="0" showRowStripes="0" showColumnStripes="0"/>
</table>
</file>

<file path=xl/tables/table74.xml><?xml version="1.0" encoding="utf-8"?>
<table xmlns="http://schemas.openxmlformats.org/spreadsheetml/2006/main" id="58" name="TabelaDeRendimentos813151923273135394347515559" displayName="TabelaDeRendimentos813151923273135394347515559" ref="B4:F9" totalsRowCount="1" headerRowDxfId="29" totalsRowDxfId="28">
  <autoFilter ref="B4:F8"/>
  <tableColumns count="5">
    <tableColumn id="1" name="RENDIMENTOS" totalsRowLabel="Total Rendimentos" dataDxfId="27" totalsRowDxfId="26"/>
    <tableColumn id="2" name="ESTIMADO" totalsRowFunction="custom" dataDxfId="25" totalsRowDxfId="24">
      <totalsRowFormula>SUBTOTAL(9,TabelaDeRendimentos813151923273135394347515559[ESTIMADO])</totalsRowFormula>
    </tableColumn>
    <tableColumn id="3" name="REAL" totalsRowFunction="custom" dataDxfId="23" totalsRowDxfId="22">
      <totalsRowFormula>SUBTOTAL(9,TabelaDeRendimentos813151923273135394347515559[REAL])</totalsRowFormula>
    </tableColumn>
    <tableColumn id="5" name="5 Maiores Quantias" totalsRowFunction="custom" dataDxfId="21" totalsRowDxfId="20">
      <calculatedColumnFormula>TabelaDeRendimentos813151923273135394347515559[[#This Row],[REAL]]+(10^-6)*ROW(TabelaDeRendimentos813151923273135394347515559[[#This Row],[REAL]])</calculatedColumnFormula>
      <totalsRowFormula>SUBTOTAL(9,TabelaDeRendimentos813151923273135394347515559[5 Maiores Quantias])</totalsRowFormula>
    </tableColumn>
    <tableColumn id="4" name="DIFERENÇA" totalsRowFunction="custom" dataDxfId="19" totalsRowDxfId="18">
      <calculatedColumnFormula>TabelaDeRendimentos813151923273135394347515559[[#This Row],[REAL]]-TabelaDeRendimentos813151923273135394347515559[[#This Row],[ESTIMADO]]</calculatedColumnFormula>
      <totalsRowFormula>SUBTOTAL(9,TabelaDeRendimentos813151923273135394347515559[DIFERENÇA])</totalsRowFormula>
    </tableColumn>
  </tableColumns>
  <tableStyleInfo name="Monthly Budget" showFirstColumn="0" showLastColumn="0" showRowStripes="0" showColumnStripes="0"/>
</table>
</file>

<file path=xl/tables/table75.xml><?xml version="1.0" encoding="utf-8"?>
<table xmlns="http://schemas.openxmlformats.org/spreadsheetml/2006/main" id="59" name="TabelaDeTotais914162024283236404448525660" displayName="TabelaDeTotais914162024283236404448525660" ref="H4:K7" totalsRowCount="1" headerRowDxfId="17" totalsRowDxfId="16">
  <autoFilter ref="H4:K6"/>
  <tableColumns count="4">
    <tableColumn id="1" name="TOTAL ORÇAMENTAL" totalsRowLabel="Balanço (Rendimento menos Despesas)" totalsRowDxfId="15"/>
    <tableColumn id="2" name="ESTIMADO" totalsRowFunction="custom" totalsRowDxfId="14">
      <totalsRowFormula>I5-I6</totalsRowFormula>
    </tableColumn>
    <tableColumn id="3" name="REAL" totalsRowFunction="custom" totalsRowDxfId="13">
      <totalsRowFormula>J5-J6</totalsRowFormula>
    </tableColumn>
    <tableColumn id="4" name="DIFERENÇA" totalsRowFunction="custom" totalsRowDxfId="12">
      <totalsRowFormula>TabelaDeTotais914162024283236404448525660[[#Totals],[REAL]]-TabelaDeTotais914162024283236404448525660[[#Totals],[ESTIMADO]]</totalsRowFormula>
    </tableColumn>
  </tableColumns>
  <tableStyleInfo name="Monthly Budget" showFirstColumn="0" showLastColumn="1" showRowStripes="0" showColumnStripes="0"/>
</table>
</file>

<file path=xl/tables/table76.xml><?xml version="1.0" encoding="utf-8"?>
<table xmlns="http://schemas.openxmlformats.org/spreadsheetml/2006/main" id="60" name="TabelaDeDespesasDePessoal1116182125293337414549535761" displayName="TabelaDeDespesasDePessoal1116182125293337414549535761" ref="B11:F16" totalsRowCount="1" headerRowDxfId="11" totalsRowDxfId="10">
  <autoFilter ref="B11:F15"/>
  <tableColumns count="5">
    <tableColumn id="1" name="DESPESAS COM PESSOAL" totalsRowLabel="Total de Pessoal" dataDxfId="9" totalsRowDxfId="8"/>
    <tableColumn id="2" name="ESTIMADO" totalsRowFunction="custom" dataDxfId="7" totalsRowDxfId="6">
      <totalsRowFormula>SUBTOTAL(9,TabelaDeDespesasDePessoal1116182125293337414549535761[ESTIMADO])</totalsRowFormula>
    </tableColumn>
    <tableColumn id="3" name="REAL" totalsRowFunction="custom" dataDxfId="5" totalsRowDxfId="4">
      <totalsRowFormula>SUBTOTAL(9,TabelaDeDespesasDePessoal1116182125293337414549535761[REAL])</totalsRowFormula>
    </tableColumn>
    <tableColumn id="4" name="5 Maiores Quantias" totalsRowFunction="custom" dataDxfId="3" totalsRowDxfId="2">
      <calculatedColumnFormula>TabelaDeDespesasDePessoal1116182125293337414549535761[[#This Row],[REAL]]+(10^-6)*ROW(TabelaDeDespesasDePessoal1116182125293337414549535761[[#This Row],[REAL]])</calculatedColumnFormula>
      <totalsRowFormula>SUBTOTAL(9,TabelaDeDespesasDePessoal1116182125293337414549535761[5 Maiores Quantias])</totalsRowFormula>
    </tableColumn>
    <tableColumn id="5" name="DIFERENÇA" totalsRowFunction="custom" dataDxfId="1" totalsRowDxfId="0">
      <calculatedColumnFormula>TabelaDeDespesasDePessoal1116182125293337414549535761[[#This Row],[ESTIMADO]]-TabelaDeDespesasDePessoal1116182125293337414549535761[[#This Row],[REAL]]</calculatedColumnFormula>
      <totalsRowFormula>SUBTOTAL(9,TabelaDeDespesasDePessoal1116182125293337414549535761[DIFERENÇA])</totalsRowFormula>
    </tableColumn>
  </tableColumns>
  <tableStyleInfo name="Monthly Budget" showFirstColumn="0" showLastColumn="0" showRowStripes="0" showColumnStripes="0"/>
</table>
</file>

<file path=xl/tables/table8.xml><?xml version="1.0" encoding="utf-8"?>
<table xmlns="http://schemas.openxmlformats.org/spreadsheetml/2006/main" id="80" name="TabelaDeDespesasDePessoal1116186581" displayName="TabelaDeDespesasDePessoal1116186581" ref="B11:F16" totalsRowCount="1" headerRowDxfId="725" totalsRowDxfId="724">
  <autoFilter ref="B11:F15"/>
  <tableColumns count="5">
    <tableColumn id="1" name="DESPESAS COM PESSOAL" totalsRowLabel="Total de Pessoal" dataDxfId="723" totalsRowDxfId="722"/>
    <tableColumn id="2" name="ESTIMADO" totalsRowFunction="custom" dataDxfId="721" totalsRowDxfId="720">
      <calculatedColumnFormula>TabelaDeDespesasDePessoal111618212529[[#This Row],[ESTIMADO]]+TabelaDeDespesasDePessoal11161821252933[[#This Row],[ESTIMADO]]+TabelaDeDespesasDePessoal1116182125293337[[#This Row],[ESTIMADO]]</calculatedColumnFormula>
      <totalsRowFormula>SUBTOTAL(9,TabelaDeDespesasDePessoal1116186581[ESTIMADO])</totalsRowFormula>
    </tableColumn>
    <tableColumn id="3" name="REAL" totalsRowFunction="custom" dataDxfId="719" totalsRowDxfId="718">
      <calculatedColumnFormula>TabelaDeDespesasDePessoal111618212529[[#This Row],[REAL]]+TabelaDeDespesasDePessoal11161821252933[[#This Row],[REAL]]+TabelaDeDespesasDePessoal1116182125293337[[#This Row],[REAL]]</calculatedColumnFormula>
      <totalsRowFormula>SUBTOTAL(9,TabelaDeDespesasDePessoal1116186581[REAL])</totalsRowFormula>
    </tableColumn>
    <tableColumn id="4" name="5 Maiores Quantias" totalsRowFunction="custom" dataDxfId="717" totalsRowDxfId="716">
      <calculatedColumnFormula>TabelaDeDespesasDePessoal1116186581[[#This Row],[REAL]]+(10^-6)*ROW(TabelaDeDespesasDePessoal1116186581[[#This Row],[REAL]])</calculatedColumnFormula>
      <totalsRowFormula>SUBTOTAL(9,TabelaDeDespesasDePessoal1116186581[5 Maiores Quantias])</totalsRowFormula>
    </tableColumn>
    <tableColumn id="5" name="DIFERENÇA" totalsRowFunction="custom" dataDxfId="715" totalsRowDxfId="714">
      <calculatedColumnFormula>TabelaDeDespesasDePessoal1116186581[[#This Row],[ESTIMADO]]-TabelaDeDespesasDePessoal1116186581[[#This Row],[REAL]]</calculatedColumnFormula>
      <totalsRowFormula>SUBTOTAL(9,TabelaDeDespesasDePessoal1116186581[DIFERENÇA])</totalsRowFormula>
    </tableColumn>
  </tableColumns>
  <tableStyleInfo name="Monthly Budget" showFirstColumn="0" showLastColumn="0" showRowStripes="0" showColumnStripes="0"/>
</table>
</file>

<file path=xl/tables/table9.xml><?xml version="1.0" encoding="utf-8"?>
<table xmlns="http://schemas.openxmlformats.org/spreadsheetml/2006/main" id="81" name="TabelaDeDespesasOperacionais71214627882" displayName="TabelaDeDespesasOperacionais71214627882" ref="B18:F31" totalsRowCount="1" headerRowDxfId="713" totalsRowDxfId="712">
  <autoFilter ref="B18:F30"/>
  <sortState ref="B19:F39">
    <sortCondition ref="B16:B37"/>
  </sortState>
  <tableColumns count="5">
    <tableColumn id="1" name="DESPESAS COM FUNCIONAMENTO" totalsRowLabel="Total de Funcionamento" dataDxfId="711" totalsRowDxfId="710"/>
    <tableColumn id="2" name="ESTIMADO" totalsRowFunction="custom" dataDxfId="709" totalsRowDxfId="708">
      <calculatedColumnFormula>TabelaDeDespesasOperacionais71214172226303438[[#This Row],[ESTIMADO]]+TabelaDeDespesasOperacionais7121417222630343842[[#This Row],[ESTIMADO]]+TabelaDeDespesasOperacionais712141722263034384246[[#This Row],[ESTIMADO]]</calculatedColumnFormula>
      <totalsRowFormula>SUBTOTAL(9,TabelaDeDespesasOperacionais71214627882[ESTIMADO])</totalsRowFormula>
    </tableColumn>
    <tableColumn id="3" name="REAL" totalsRowFunction="custom" dataDxfId="707" totalsRowDxfId="706">
      <calculatedColumnFormula>TabelaDeDespesasOperacionais71214172226303438[[#This Row],[REAL]]+TabelaDeDespesasOperacionais7121417222630343842[[#This Row],[REAL]]+TabelaDeDespesasOperacionais712141722263034384246[[#This Row],[REAL]]</calculatedColumnFormula>
      <totalsRowFormula>SUBTOTAL(9,TabelaDeDespesasOperacionais71214627882[REAL])</totalsRowFormula>
    </tableColumn>
    <tableColumn id="5" name="5 Maiores Quantias" totalsRowFunction="custom" dataDxfId="705" totalsRowDxfId="704">
      <calculatedColumnFormula>TabelaDeDespesasOperacionais71214627882[[#This Row],[REAL]]+(10^-6)*ROW(TabelaDeDespesasOperacionais71214627882[[#This Row],[REAL]])</calculatedColumnFormula>
      <totalsRowFormula>SUBTOTAL(9,TabelaDeDespesasOperacionais71214627882[5 Maiores Quantias])</totalsRowFormula>
    </tableColumn>
    <tableColumn id="4" name="DIFERENÇA" totalsRowFunction="custom" dataDxfId="703" totalsRowDxfId="702">
      <calculatedColumnFormula>TabelaDeDespesasOperacionais71214627882[[#This Row],[ESTIMADO]]-TabelaDeDespesasOperacionais71214627882[[#This Row],[REAL]]</calculatedColumnFormula>
      <totalsRowFormula>SUBTOTAL(9,TabelaDeDespesasOperacionais71214627882[DIFERENÇA])</totalsRowFormula>
    </tableColumn>
  </tableColumns>
  <tableStyleInfo name="Monthly Budget" showFirstColumn="0" showLastColumn="0" showRowStripes="0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table" Target="../tables/table3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table" Target="../tables/table4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table" Target="../tables/table4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43.xml"/><Relationship Id="rId5" Type="http://schemas.openxmlformats.org/officeDocument/2006/relationships/table" Target="../tables/table42.xml"/><Relationship Id="rId4" Type="http://schemas.openxmlformats.org/officeDocument/2006/relationships/table" Target="../tables/table4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7" Type="http://schemas.openxmlformats.org/officeDocument/2006/relationships/table" Target="../tables/table48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47.xml"/><Relationship Id="rId5" Type="http://schemas.openxmlformats.org/officeDocument/2006/relationships/table" Target="../tables/table46.xml"/><Relationship Id="rId4" Type="http://schemas.openxmlformats.org/officeDocument/2006/relationships/table" Target="../tables/table4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7" Type="http://schemas.openxmlformats.org/officeDocument/2006/relationships/table" Target="../tables/table52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51.xml"/><Relationship Id="rId5" Type="http://schemas.openxmlformats.org/officeDocument/2006/relationships/table" Target="../tables/table50.xml"/><Relationship Id="rId4" Type="http://schemas.openxmlformats.org/officeDocument/2006/relationships/table" Target="../tables/table4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7" Type="http://schemas.openxmlformats.org/officeDocument/2006/relationships/table" Target="../tables/table56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55.xml"/><Relationship Id="rId5" Type="http://schemas.openxmlformats.org/officeDocument/2006/relationships/table" Target="../tables/table54.xml"/><Relationship Id="rId4" Type="http://schemas.openxmlformats.org/officeDocument/2006/relationships/table" Target="../tables/table5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7" Type="http://schemas.openxmlformats.org/officeDocument/2006/relationships/table" Target="../tables/table60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59.xml"/><Relationship Id="rId5" Type="http://schemas.openxmlformats.org/officeDocument/2006/relationships/table" Target="../tables/table58.xml"/><Relationship Id="rId4" Type="http://schemas.openxmlformats.org/officeDocument/2006/relationships/table" Target="../tables/table57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7" Type="http://schemas.openxmlformats.org/officeDocument/2006/relationships/table" Target="../tables/table64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63.xml"/><Relationship Id="rId5" Type="http://schemas.openxmlformats.org/officeDocument/2006/relationships/table" Target="../tables/table62.xml"/><Relationship Id="rId4" Type="http://schemas.openxmlformats.org/officeDocument/2006/relationships/table" Target="../tables/table6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7" Type="http://schemas.openxmlformats.org/officeDocument/2006/relationships/table" Target="../tables/table6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67.xml"/><Relationship Id="rId5" Type="http://schemas.openxmlformats.org/officeDocument/2006/relationships/table" Target="../tables/table66.xml"/><Relationship Id="rId4" Type="http://schemas.openxmlformats.org/officeDocument/2006/relationships/table" Target="../tables/table6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7" Type="http://schemas.openxmlformats.org/officeDocument/2006/relationships/table" Target="../tables/table72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71.xml"/><Relationship Id="rId5" Type="http://schemas.openxmlformats.org/officeDocument/2006/relationships/table" Target="../tables/table70.xml"/><Relationship Id="rId4" Type="http://schemas.openxmlformats.org/officeDocument/2006/relationships/table" Target="../tables/table6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7" Type="http://schemas.openxmlformats.org/officeDocument/2006/relationships/table" Target="../tables/table76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75.xml"/><Relationship Id="rId5" Type="http://schemas.openxmlformats.org/officeDocument/2006/relationships/table" Target="../tables/table74.xml"/><Relationship Id="rId4" Type="http://schemas.openxmlformats.org/officeDocument/2006/relationships/table" Target="../tables/table7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table" Target="../tables/table1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drawing" Target="../drawings/drawing6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table" Target="../tables/table2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table" Target="../tables/table2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table" Target="../tables/table3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V19"/>
  <sheetViews>
    <sheetView showGridLines="0" tabSelected="1" workbookViewId="0">
      <selection sqref="A1:XFD1"/>
    </sheetView>
  </sheetViews>
  <sheetFormatPr defaultRowHeight="12.75" x14ac:dyDescent="0.25"/>
  <cols>
    <col min="1" max="10" width="9.140625" style="26"/>
    <col min="11" max="11" width="4.42578125" style="26" customWidth="1"/>
    <col min="12" max="266" width="9.140625" style="26"/>
    <col min="267" max="267" width="4.42578125" style="26" customWidth="1"/>
    <col min="268" max="522" width="9.140625" style="26"/>
    <col min="523" max="523" width="4.42578125" style="26" customWidth="1"/>
    <col min="524" max="778" width="9.140625" style="26"/>
    <col min="779" max="779" width="4.42578125" style="26" customWidth="1"/>
    <col min="780" max="1034" width="9.140625" style="26"/>
    <col min="1035" max="1035" width="4.42578125" style="26" customWidth="1"/>
    <col min="1036" max="1290" width="9.140625" style="26"/>
    <col min="1291" max="1291" width="4.42578125" style="26" customWidth="1"/>
    <col min="1292" max="1546" width="9.140625" style="26"/>
    <col min="1547" max="1547" width="4.42578125" style="26" customWidth="1"/>
    <col min="1548" max="1802" width="9.140625" style="26"/>
    <col min="1803" max="1803" width="4.42578125" style="26" customWidth="1"/>
    <col min="1804" max="2058" width="9.140625" style="26"/>
    <col min="2059" max="2059" width="4.42578125" style="26" customWidth="1"/>
    <col min="2060" max="2314" width="9.140625" style="26"/>
    <col min="2315" max="2315" width="4.42578125" style="26" customWidth="1"/>
    <col min="2316" max="2570" width="9.140625" style="26"/>
    <col min="2571" max="2571" width="4.42578125" style="26" customWidth="1"/>
    <col min="2572" max="2826" width="9.140625" style="26"/>
    <col min="2827" max="2827" width="4.42578125" style="26" customWidth="1"/>
    <col min="2828" max="3082" width="9.140625" style="26"/>
    <col min="3083" max="3083" width="4.42578125" style="26" customWidth="1"/>
    <col min="3084" max="3338" width="9.140625" style="26"/>
    <col min="3339" max="3339" width="4.42578125" style="26" customWidth="1"/>
    <col min="3340" max="3594" width="9.140625" style="26"/>
    <col min="3595" max="3595" width="4.42578125" style="26" customWidth="1"/>
    <col min="3596" max="3850" width="9.140625" style="26"/>
    <col min="3851" max="3851" width="4.42578125" style="26" customWidth="1"/>
    <col min="3852" max="4106" width="9.140625" style="26"/>
    <col min="4107" max="4107" width="4.42578125" style="26" customWidth="1"/>
    <col min="4108" max="4362" width="9.140625" style="26"/>
    <col min="4363" max="4363" width="4.42578125" style="26" customWidth="1"/>
    <col min="4364" max="4618" width="9.140625" style="26"/>
    <col min="4619" max="4619" width="4.42578125" style="26" customWidth="1"/>
    <col min="4620" max="4874" width="9.140625" style="26"/>
    <col min="4875" max="4875" width="4.42578125" style="26" customWidth="1"/>
    <col min="4876" max="5130" width="9.140625" style="26"/>
    <col min="5131" max="5131" width="4.42578125" style="26" customWidth="1"/>
    <col min="5132" max="5386" width="9.140625" style="26"/>
    <col min="5387" max="5387" width="4.42578125" style="26" customWidth="1"/>
    <col min="5388" max="5642" width="9.140625" style="26"/>
    <col min="5643" max="5643" width="4.42578125" style="26" customWidth="1"/>
    <col min="5644" max="5898" width="9.140625" style="26"/>
    <col min="5899" max="5899" width="4.42578125" style="26" customWidth="1"/>
    <col min="5900" max="6154" width="9.140625" style="26"/>
    <col min="6155" max="6155" width="4.42578125" style="26" customWidth="1"/>
    <col min="6156" max="6410" width="9.140625" style="26"/>
    <col min="6411" max="6411" width="4.42578125" style="26" customWidth="1"/>
    <col min="6412" max="6666" width="9.140625" style="26"/>
    <col min="6667" max="6667" width="4.42578125" style="26" customWidth="1"/>
    <col min="6668" max="6922" width="9.140625" style="26"/>
    <col min="6923" max="6923" width="4.42578125" style="26" customWidth="1"/>
    <col min="6924" max="7178" width="9.140625" style="26"/>
    <col min="7179" max="7179" width="4.42578125" style="26" customWidth="1"/>
    <col min="7180" max="7434" width="9.140625" style="26"/>
    <col min="7435" max="7435" width="4.42578125" style="26" customWidth="1"/>
    <col min="7436" max="7690" width="9.140625" style="26"/>
    <col min="7691" max="7691" width="4.42578125" style="26" customWidth="1"/>
    <col min="7692" max="7946" width="9.140625" style="26"/>
    <col min="7947" max="7947" width="4.42578125" style="26" customWidth="1"/>
    <col min="7948" max="8202" width="9.140625" style="26"/>
    <col min="8203" max="8203" width="4.42578125" style="26" customWidth="1"/>
    <col min="8204" max="8458" width="9.140625" style="26"/>
    <col min="8459" max="8459" width="4.42578125" style="26" customWidth="1"/>
    <col min="8460" max="8714" width="9.140625" style="26"/>
    <col min="8715" max="8715" width="4.42578125" style="26" customWidth="1"/>
    <col min="8716" max="8970" width="9.140625" style="26"/>
    <col min="8971" max="8971" width="4.42578125" style="26" customWidth="1"/>
    <col min="8972" max="9226" width="9.140625" style="26"/>
    <col min="9227" max="9227" width="4.42578125" style="26" customWidth="1"/>
    <col min="9228" max="9482" width="9.140625" style="26"/>
    <col min="9483" max="9483" width="4.42578125" style="26" customWidth="1"/>
    <col min="9484" max="9738" width="9.140625" style="26"/>
    <col min="9739" max="9739" width="4.42578125" style="26" customWidth="1"/>
    <col min="9740" max="9994" width="9.140625" style="26"/>
    <col min="9995" max="9995" width="4.42578125" style="26" customWidth="1"/>
    <col min="9996" max="10250" width="9.140625" style="26"/>
    <col min="10251" max="10251" width="4.42578125" style="26" customWidth="1"/>
    <col min="10252" max="10506" width="9.140625" style="26"/>
    <col min="10507" max="10507" width="4.42578125" style="26" customWidth="1"/>
    <col min="10508" max="10762" width="9.140625" style="26"/>
    <col min="10763" max="10763" width="4.42578125" style="26" customWidth="1"/>
    <col min="10764" max="11018" width="9.140625" style="26"/>
    <col min="11019" max="11019" width="4.42578125" style="26" customWidth="1"/>
    <col min="11020" max="11274" width="9.140625" style="26"/>
    <col min="11275" max="11275" width="4.42578125" style="26" customWidth="1"/>
    <col min="11276" max="11530" width="9.140625" style="26"/>
    <col min="11531" max="11531" width="4.42578125" style="26" customWidth="1"/>
    <col min="11532" max="11786" width="9.140625" style="26"/>
    <col min="11787" max="11787" width="4.42578125" style="26" customWidth="1"/>
    <col min="11788" max="12042" width="9.140625" style="26"/>
    <col min="12043" max="12043" width="4.42578125" style="26" customWidth="1"/>
    <col min="12044" max="12298" width="9.140625" style="26"/>
    <col min="12299" max="12299" width="4.42578125" style="26" customWidth="1"/>
    <col min="12300" max="12554" width="9.140625" style="26"/>
    <col min="12555" max="12555" width="4.42578125" style="26" customWidth="1"/>
    <col min="12556" max="12810" width="9.140625" style="26"/>
    <col min="12811" max="12811" width="4.42578125" style="26" customWidth="1"/>
    <col min="12812" max="13066" width="9.140625" style="26"/>
    <col min="13067" max="13067" width="4.42578125" style="26" customWidth="1"/>
    <col min="13068" max="13322" width="9.140625" style="26"/>
    <col min="13323" max="13323" width="4.42578125" style="26" customWidth="1"/>
    <col min="13324" max="13578" width="9.140625" style="26"/>
    <col min="13579" max="13579" width="4.42578125" style="26" customWidth="1"/>
    <col min="13580" max="13834" width="9.140625" style="26"/>
    <col min="13835" max="13835" width="4.42578125" style="26" customWidth="1"/>
    <col min="13836" max="14090" width="9.140625" style="26"/>
    <col min="14091" max="14091" width="4.42578125" style="26" customWidth="1"/>
    <col min="14092" max="14346" width="9.140625" style="26"/>
    <col min="14347" max="14347" width="4.42578125" style="26" customWidth="1"/>
    <col min="14348" max="14602" width="9.140625" style="26"/>
    <col min="14603" max="14603" width="4.42578125" style="26" customWidth="1"/>
    <col min="14604" max="14858" width="9.140625" style="26"/>
    <col min="14859" max="14859" width="4.42578125" style="26" customWidth="1"/>
    <col min="14860" max="15114" width="9.140625" style="26"/>
    <col min="15115" max="15115" width="4.42578125" style="26" customWidth="1"/>
    <col min="15116" max="15370" width="9.140625" style="26"/>
    <col min="15371" max="15371" width="4.42578125" style="26" customWidth="1"/>
    <col min="15372" max="15626" width="9.140625" style="26"/>
    <col min="15627" max="15627" width="4.42578125" style="26" customWidth="1"/>
    <col min="15628" max="15882" width="9.140625" style="26"/>
    <col min="15883" max="15883" width="4.42578125" style="26" customWidth="1"/>
    <col min="15884" max="16138" width="9.140625" style="26"/>
    <col min="16139" max="16139" width="4.42578125" style="26" customWidth="1"/>
    <col min="16140" max="16384" width="9.140625" style="26"/>
  </cols>
  <sheetData>
    <row r="1" spans="1:22" ht="33.75" customHeight="1" x14ac:dyDescent="0.2">
      <c r="A1" s="30"/>
      <c r="B1" s="30"/>
      <c r="C1" s="39" t="s">
        <v>60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0"/>
      <c r="U1" s="30"/>
      <c r="V1" s="30"/>
    </row>
    <row r="2" spans="1:22" ht="33.75" x14ac:dyDescent="0.2">
      <c r="A2" s="30"/>
      <c r="B2" s="30"/>
      <c r="C2" s="38" t="s">
        <v>47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0"/>
      <c r="U2" s="30"/>
      <c r="V2" s="30"/>
    </row>
    <row r="3" spans="1:22" ht="33.75" x14ac:dyDescent="0.2">
      <c r="A3" s="30"/>
      <c r="B3" s="30"/>
      <c r="C3" s="38" t="s">
        <v>44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0"/>
      <c r="U3" s="30"/>
      <c r="V3" s="30"/>
    </row>
    <row r="4" spans="1:22" ht="22.5" x14ac:dyDescent="0.2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0"/>
      <c r="R4" s="30"/>
      <c r="S4" s="30"/>
      <c r="T4" s="30"/>
      <c r="U4" s="30"/>
      <c r="V4" s="30"/>
    </row>
    <row r="5" spans="1:22" ht="22.5" x14ac:dyDescent="0.3">
      <c r="A5" s="30"/>
      <c r="B5" s="30"/>
      <c r="C5" s="30"/>
      <c r="D5" s="32" t="s">
        <v>45</v>
      </c>
      <c r="E5" s="33"/>
      <c r="F5" s="33"/>
      <c r="G5" s="34"/>
      <c r="H5" s="34"/>
      <c r="I5" s="34"/>
      <c r="J5" s="34"/>
      <c r="K5" s="31"/>
      <c r="L5" s="31"/>
      <c r="M5" s="31"/>
      <c r="N5" s="31"/>
      <c r="O5" s="31"/>
      <c r="P5" s="31"/>
      <c r="Q5" s="30"/>
      <c r="R5" s="30"/>
      <c r="S5" s="30"/>
      <c r="T5" s="30"/>
      <c r="U5" s="30"/>
      <c r="V5" s="30"/>
    </row>
    <row r="6" spans="1:22" ht="22.5" x14ac:dyDescent="0.25">
      <c r="A6" s="30"/>
      <c r="B6" s="30"/>
      <c r="C6" s="33"/>
      <c r="D6" s="31"/>
      <c r="E6" s="33"/>
      <c r="F6" s="33"/>
      <c r="G6" s="34"/>
      <c r="H6" s="34"/>
      <c r="I6" s="34"/>
      <c r="J6" s="30"/>
      <c r="K6" s="31"/>
      <c r="L6" s="31"/>
      <c r="M6" s="31"/>
      <c r="N6" s="34"/>
      <c r="O6" s="31"/>
      <c r="P6" s="31"/>
      <c r="Q6" s="30"/>
      <c r="R6" s="30"/>
      <c r="S6" s="30"/>
      <c r="T6" s="30"/>
      <c r="U6" s="30"/>
      <c r="V6" s="30"/>
    </row>
    <row r="7" spans="1:22" ht="10.5" customHeight="1" x14ac:dyDescent="0.25">
      <c r="A7" s="30"/>
      <c r="B7" s="30"/>
      <c r="C7" s="33"/>
      <c r="D7" s="31"/>
      <c r="E7" s="33"/>
      <c r="F7" s="33"/>
      <c r="G7" s="34"/>
      <c r="H7" s="34"/>
      <c r="I7" s="34"/>
      <c r="J7" s="30"/>
      <c r="K7" s="31"/>
      <c r="L7" s="31"/>
      <c r="M7" s="31"/>
      <c r="N7" s="34"/>
      <c r="O7" s="31"/>
      <c r="P7" s="31"/>
      <c r="Q7" s="30"/>
      <c r="R7" s="30"/>
      <c r="S7" s="30"/>
      <c r="T7" s="30"/>
      <c r="U7" s="30"/>
      <c r="V7" s="30"/>
    </row>
    <row r="8" spans="1:22" ht="33.75" customHeight="1" x14ac:dyDescent="0.2">
      <c r="A8" s="30"/>
      <c r="B8" s="30"/>
      <c r="C8" s="27" t="s">
        <v>46</v>
      </c>
      <c r="D8" s="29" t="s">
        <v>48</v>
      </c>
      <c r="E8" s="28"/>
      <c r="F8" s="30"/>
      <c r="G8" s="27" t="s">
        <v>46</v>
      </c>
      <c r="H8" s="29" t="s">
        <v>54</v>
      </c>
      <c r="I8" s="28"/>
      <c r="J8" s="30"/>
      <c r="K8" s="28"/>
      <c r="L8" s="36" t="s">
        <v>66</v>
      </c>
      <c r="M8" s="28"/>
      <c r="N8" s="28"/>
      <c r="O8" s="31"/>
      <c r="P8" s="28"/>
      <c r="Q8" s="37" t="s">
        <v>67</v>
      </c>
      <c r="R8" s="28"/>
      <c r="S8" s="31"/>
      <c r="T8" s="31"/>
      <c r="U8" s="31"/>
      <c r="V8" s="31"/>
    </row>
    <row r="9" spans="1:22" ht="27" x14ac:dyDescent="0.2">
      <c r="A9" s="30"/>
      <c r="B9" s="30"/>
      <c r="C9" s="27" t="s">
        <v>46</v>
      </c>
      <c r="D9" s="29" t="s">
        <v>49</v>
      </c>
      <c r="E9" s="28"/>
      <c r="F9" s="30"/>
      <c r="G9" s="27" t="s">
        <v>46</v>
      </c>
      <c r="H9" s="29" t="s">
        <v>55</v>
      </c>
      <c r="I9" s="28"/>
      <c r="J9" s="30"/>
      <c r="K9" s="27" t="s">
        <v>46</v>
      </c>
      <c r="L9" s="29" t="s">
        <v>62</v>
      </c>
      <c r="M9" s="28"/>
      <c r="N9" s="28"/>
      <c r="O9" s="31"/>
      <c r="P9" s="28"/>
      <c r="Q9" s="37" t="s">
        <v>72</v>
      </c>
      <c r="R9" s="35"/>
      <c r="S9" s="31"/>
      <c r="T9" s="31"/>
      <c r="U9" s="31"/>
      <c r="V9" s="31"/>
    </row>
    <row r="10" spans="1:22" ht="27" x14ac:dyDescent="0.2">
      <c r="A10" s="30"/>
      <c r="B10" s="30"/>
      <c r="C10" s="27" t="s">
        <v>46</v>
      </c>
      <c r="D10" s="29" t="s">
        <v>50</v>
      </c>
      <c r="E10" s="28"/>
      <c r="F10" s="30"/>
      <c r="G10" s="27" t="s">
        <v>46</v>
      </c>
      <c r="H10" s="29" t="s">
        <v>56</v>
      </c>
      <c r="I10" s="28"/>
      <c r="J10" s="30"/>
      <c r="K10" s="27" t="s">
        <v>46</v>
      </c>
      <c r="L10" s="29" t="s">
        <v>63</v>
      </c>
      <c r="M10" s="28"/>
      <c r="N10" s="28"/>
      <c r="O10" s="31"/>
      <c r="P10" s="27" t="s">
        <v>46</v>
      </c>
      <c r="Q10" s="29" t="s">
        <v>68</v>
      </c>
      <c r="R10" s="28"/>
      <c r="S10" s="31"/>
      <c r="T10" s="31"/>
      <c r="U10" s="31"/>
      <c r="V10" s="31"/>
    </row>
    <row r="11" spans="1:22" ht="27" x14ac:dyDescent="0.2">
      <c r="A11" s="30"/>
      <c r="B11" s="30"/>
      <c r="C11" s="27" t="s">
        <v>46</v>
      </c>
      <c r="D11" s="29" t="s">
        <v>51</v>
      </c>
      <c r="E11" s="28"/>
      <c r="F11" s="30"/>
      <c r="G11" s="27" t="s">
        <v>46</v>
      </c>
      <c r="H11" s="29" t="s">
        <v>57</v>
      </c>
      <c r="I11" s="28"/>
      <c r="J11" s="30"/>
      <c r="K11" s="27" t="s">
        <v>46</v>
      </c>
      <c r="L11" s="29" t="s">
        <v>64</v>
      </c>
      <c r="M11" s="28"/>
      <c r="N11" s="28"/>
      <c r="O11" s="31"/>
      <c r="P11" s="27" t="s">
        <v>46</v>
      </c>
      <c r="Q11" s="29" t="s">
        <v>69</v>
      </c>
      <c r="R11" s="28"/>
      <c r="S11" s="31"/>
      <c r="T11" s="31"/>
      <c r="U11" s="31"/>
      <c r="V11" s="31"/>
    </row>
    <row r="12" spans="1:22" ht="27" x14ac:dyDescent="0.2">
      <c r="A12" s="30"/>
      <c r="B12" s="30"/>
      <c r="C12" s="27" t="s">
        <v>46</v>
      </c>
      <c r="D12" s="29" t="s">
        <v>52</v>
      </c>
      <c r="E12" s="28"/>
      <c r="F12" s="30"/>
      <c r="G12" s="27" t="s">
        <v>46</v>
      </c>
      <c r="H12" s="29" t="s">
        <v>58</v>
      </c>
      <c r="I12" s="28"/>
      <c r="J12" s="30"/>
      <c r="K12" s="27" t="s">
        <v>46</v>
      </c>
      <c r="L12" s="29" t="s">
        <v>65</v>
      </c>
      <c r="M12" s="28"/>
      <c r="N12" s="28"/>
      <c r="O12" s="31"/>
      <c r="P12" s="27" t="s">
        <v>46</v>
      </c>
      <c r="Q12" s="29" t="s">
        <v>70</v>
      </c>
      <c r="R12" s="28"/>
      <c r="S12" s="31"/>
      <c r="T12" s="31"/>
      <c r="U12" s="31"/>
      <c r="V12" s="31"/>
    </row>
    <row r="13" spans="1:22" ht="27" x14ac:dyDescent="0.2">
      <c r="A13" s="30"/>
      <c r="B13" s="30"/>
      <c r="C13" s="27" t="s">
        <v>46</v>
      </c>
      <c r="D13" s="29" t="s">
        <v>53</v>
      </c>
      <c r="E13" s="28"/>
      <c r="F13" s="30"/>
      <c r="G13" s="27" t="s">
        <v>46</v>
      </c>
      <c r="H13" s="29" t="s">
        <v>59</v>
      </c>
      <c r="I13" s="28"/>
      <c r="J13" s="30"/>
      <c r="K13" s="28"/>
      <c r="L13" s="28"/>
      <c r="M13" s="28"/>
      <c r="N13" s="28"/>
      <c r="O13" s="31"/>
      <c r="P13" s="28"/>
      <c r="Q13" s="28"/>
      <c r="R13" s="28"/>
      <c r="S13" s="31"/>
      <c r="T13" s="31"/>
      <c r="U13" s="31"/>
      <c r="V13" s="31"/>
    </row>
    <row r="14" spans="1:22" ht="22.5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1"/>
      <c r="T14" s="31"/>
      <c r="U14" s="31"/>
      <c r="V14" s="31"/>
    </row>
    <row r="15" spans="1:22" ht="22.5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1"/>
      <c r="T15" s="31"/>
      <c r="U15" s="31"/>
      <c r="V15" s="31"/>
    </row>
    <row r="16" spans="1:22" ht="22.5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1"/>
      <c r="T16" s="31"/>
      <c r="U16" s="31"/>
      <c r="V16" s="31"/>
    </row>
    <row r="17" spans="1:22" ht="22.5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1"/>
      <c r="T17" s="31"/>
      <c r="U17" s="31"/>
      <c r="V17" s="31"/>
    </row>
    <row r="18" spans="1:22" ht="22.5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1"/>
      <c r="T18" s="31"/>
      <c r="U18" s="31"/>
      <c r="V18" s="31"/>
    </row>
    <row r="19" spans="1:22" ht="22.5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31"/>
      <c r="U19" s="31"/>
      <c r="V19" s="31"/>
    </row>
  </sheetData>
  <mergeCells count="3">
    <mergeCell ref="C2:S2"/>
    <mergeCell ref="C3:S3"/>
    <mergeCell ref="C1:S1"/>
  </mergeCells>
  <hyperlinks>
    <hyperlink ref="D8" location="ORC_MENS_01_2014!A1" display="ORC_MENS_01"/>
    <hyperlink ref="Q10" location="RES_ORC_1_SEM_2014!A1" display="RES_ORC_1_SEM"/>
    <hyperlink ref="D9" location="ORC_MENS_02_2014!A1" display="ORC_MENS_02"/>
    <hyperlink ref="D10" location="ORC_MENS_03_2014!A1" display="ORC_MENS_03"/>
    <hyperlink ref="D11" location="ORC_MENS_04_2014!A1" display="ORC_MENS_04"/>
    <hyperlink ref="D12" location="ORC_MENS_05_2014!A1" display="ORC_MENS_05"/>
    <hyperlink ref="H8:H11" location="ORC_MENS_06_2014!A1" display="ORC_MENS_06"/>
    <hyperlink ref="H8" location="ORC_MENS_07_2014!A1" display="ORC_MENS_07"/>
    <hyperlink ref="H9" location="ORC_MENS_08_2014!A1" display="ORC_MENS_08"/>
    <hyperlink ref="H10" location="ORC_MENS_09_2014!A1" display="ORC_MENS_09"/>
    <hyperlink ref="H11" location="ORC_MENS_10_2014!A1" display="ORC_MENS_10"/>
    <hyperlink ref="D13" location="ORC_MENS_06_2014!A1" display="ORC_MENS_06"/>
    <hyperlink ref="H12:H13" location="ORC_MENS_10_2014!A1" display="ORC_MENS_10"/>
    <hyperlink ref="H12" location="ORC_MENS_11_2014!A1" display="ORC_MENS_11"/>
    <hyperlink ref="H13" location="ORC_MENS_12_2014!A1" display="ORC_MENS_12"/>
    <hyperlink ref="L9" location="RESUMO_ORC_1_TRI_2014!A1" display="RESUMO_ORC_1_TRI"/>
    <hyperlink ref="L10" location="RESUMO_ORC_2_TRI_2014!A1" display="RESUMO_ORC_2_TRI"/>
    <hyperlink ref="L11" location="RESUMO_ORC_3_TRI_2014!A1" display="RESUMO_ORC_3_TRI"/>
    <hyperlink ref="L12" location="RESUMO_ORC_4_TRI_2014!A1" display="RESUMO_ORC_4_TRI"/>
    <hyperlink ref="Q12" location="RESUMO_ORC_ANUAL_2014!A1" display="RES_ORC_ANUAL"/>
    <hyperlink ref="Q11" location="RES_ORC_2_SEM_2014!A1" display="RES_ORC_2_SEM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0">
    <tabColor theme="4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41671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27571</v>
      </c>
      <c r="E5" s="5">
        <f>TabelaDeRendimentos8131519[[#This Row],[REAL]]+(10^-6)*ROW(TabelaDeRendimentos8131519[[#This Row],[REAL]])</f>
        <v>27571.000005000002</v>
      </c>
      <c r="F5" s="5">
        <f>TabelaDeRendimentos8131519[[#This Row],[REAL]]-TabelaDeRendimentos8131519[[#This Row],[ESTIMADO]]</f>
        <v>-7329</v>
      </c>
      <c r="G5" s="3"/>
      <c r="H5" s="4" t="s">
        <v>6</v>
      </c>
      <c r="I5" s="5">
        <f>TabelaDeRendimentos8131519[[#Totals],[ESTIMADO]]</f>
        <v>157537</v>
      </c>
      <c r="J5" s="5">
        <f>TabelaDeRendimentos8131519[[#Totals],[REAL]]</f>
        <v>152303</v>
      </c>
      <c r="K5" s="5">
        <f>TabelaDeTotais9141620[[#This Row],[REAL]]-TabelaDeTotais9141620[[#This Row],[ESTIMADO]]</f>
        <v>-5234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57318.000000000007</v>
      </c>
      <c r="E6" s="5">
        <f>TabelaDeRendimentos8131519[[#This Row],[REAL]]+(10^-6)*ROW(TabelaDeRendimentos8131519[[#This Row],[REAL]])</f>
        <v>57318.000006000009</v>
      </c>
      <c r="F6" s="5">
        <f>TabelaDeRendimentos8131519[[#This Row],[REAL]]-TabelaDeRendimentos8131519[[#This Row],[ESTIMADO]]</f>
        <v>1398</v>
      </c>
      <c r="G6" s="3"/>
      <c r="H6" s="4" t="s">
        <v>7</v>
      </c>
      <c r="I6" s="5">
        <f>TabelaDeDespesasOperacionais7121417[[#Totals],[ESTIMADO]]+TabelaDeDespesasDePessoal11161821[[#Totals],[ESTIMADO]]</f>
        <v>45860</v>
      </c>
      <c r="J6" s="5">
        <f>TabelaDeDespesasOperacionais7121417[[#Totals],[REAL]]+TabelaDeDespesasDePessoal11161821[[#Totals],[REAL]]</f>
        <v>29550</v>
      </c>
      <c r="K6" s="5">
        <f>TabelaDeTotais9141620[[#This Row],[ESTIMADO]]-TabelaDeTotais9141620[[#This Row],[REAL]]</f>
        <v>16310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27571</v>
      </c>
      <c r="E7" s="5">
        <f>TabelaDeRendimentos8131519[[#This Row],[REAL]]+(10^-6)*ROW(TabelaDeRendimentos8131519[[#This Row],[REAL]])</f>
        <v>27571.000006999999</v>
      </c>
      <c r="F7" s="5">
        <f>TabelaDeRendimentos8131519[[#This Row],[REAL]]-TabelaDeRendimentos8131519[[#This Row],[ESTIMADO]]</f>
        <v>1396</v>
      </c>
      <c r="G7" s="3"/>
      <c r="H7" s="14" t="s">
        <v>8</v>
      </c>
      <c r="I7" s="15">
        <f>I5-I6</f>
        <v>111677</v>
      </c>
      <c r="J7" s="15">
        <f>J5-J6</f>
        <v>122753</v>
      </c>
      <c r="K7" s="15">
        <f>TabelaDeTotais9141620[[#Totals],[REAL]]-TabelaDeTotais9141620[[#Totals],[ESTIMADO]]</f>
        <v>11076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9">
        <v>39843</v>
      </c>
      <c r="E8" s="5">
        <f>TabelaDeRendimentos8131519[[#This Row],[REAL]]+(10^-6)*ROW(TabelaDeRendimentos8131519[[#This Row],[REAL]])</f>
        <v>39843.000008000003</v>
      </c>
      <c r="F8" s="9">
        <f>TabelaDeRendimentos8131519[[#This Row],[REAL]]-TabelaDeRendimentos8131519[[#This Row],[ESTIMADO]]</f>
        <v>-699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SUBTOTAL(9,TabelaDeRendimentos8131519[ESTIMADO])</f>
        <v>157537</v>
      </c>
      <c r="D9" s="13">
        <f>SUBTOTAL(9,TabelaDeRendimentos8131519[REAL])</f>
        <v>152303</v>
      </c>
      <c r="E9" s="13">
        <f>SUBTOTAL(9,TabelaDeRendimentos8131519[5 Maiores Quantias])</f>
        <v>152303.00002600002</v>
      </c>
      <c r="F9" s="13">
        <f>SUBTOTAL(9,TabelaDeRendimentos8131519[DIFERENÇA])</f>
        <v>-5234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280</v>
      </c>
      <c r="E12" s="8">
        <f>TabelaDeDespesasDePessoal11161821[[#This Row],[REAL]]+(10^-6)*ROW(TabelaDeDespesasDePessoal11161821[[#This Row],[REAL]])</f>
        <v>280.00001200000003</v>
      </c>
      <c r="F12" s="5">
        <f>TabelaDeDespesasDePessoal11161821[[#This Row],[ESTIMADO]]-TabelaDeDespesasDePessoal11161821[[#This Row],[REAL]]</f>
        <v>200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200</v>
      </c>
      <c r="E13" s="8">
        <f>TabelaDeDespesasDePessoal11161821[[#This Row],[REAL]]+(10^-6)*ROW(TabelaDeDespesasDePessoal11161821[[#This Row],[REAL]])</f>
        <v>200.000013</v>
      </c>
      <c r="F13" s="5">
        <f>TabelaDeDespesasDePessoal11161821[[#This Row],[ESTIMADO]]-TabelaDeDespesasDePessoal11161821[[#This Row],[REAL]]</f>
        <v>100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6250</v>
      </c>
      <c r="E14" s="8">
        <f>TabelaDeDespesasDePessoal11161821[[#This Row],[REAL]]+(10^-6)*ROW(TabelaDeDespesasDePessoal11161821[[#This Row],[REAL]])</f>
        <v>6250.0000140000002</v>
      </c>
      <c r="F14" s="5">
        <f>TabelaDeDespesasDePessoal11161821[[#This Row],[ESTIMADO]]-TabelaDeDespesasDePessoal11161821[[#This Row],[REAL]]</f>
        <v>6250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7500</v>
      </c>
      <c r="E15" s="8">
        <f>TabelaDeDespesasDePessoal11161821[[#This Row],[REAL]]+(10^-6)*ROW(TabelaDeDespesasDePessoal11161821[[#This Row],[REAL]])</f>
        <v>7500.0000149999996</v>
      </c>
      <c r="F15" s="5">
        <f>TabelaDeDespesasDePessoal11161821[[#This Row],[ESTIMADO]]-TabelaDeDespesasDePessoal11161821[[#This Row],[REAL]]</f>
        <v>7500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SUBTOTAL(9,TabelaDeDespesasDePessoal11161821[ESTIMADO])</f>
        <v>28280</v>
      </c>
      <c r="D16" s="12">
        <f>SUBTOTAL(9,TabelaDeDespesasDePessoal11161821[REAL])</f>
        <v>14230</v>
      </c>
      <c r="E16" s="12">
        <f>SUBTOTAL(9,TabelaDeDespesasDePessoal11161821[5 Maiores Quantias])</f>
        <v>14230.000054</v>
      </c>
      <c r="F16" s="12">
        <f>SUBTOTAL(9,TabelaDeDespesasDePessoal11161821[DIFERENÇA])</f>
        <v>14050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8">
        <v>30</v>
      </c>
      <c r="E19" s="8">
        <f>TabelaDeDespesasOperacionais7121417[[#This Row],[REAL]]+(10^-6)*ROW(TabelaDeDespesasOperacionais7121417[[#This Row],[REAL]])</f>
        <v>30.000019000000002</v>
      </c>
      <c r="F19" s="8">
        <f>TabelaDeDespesasOperacionais7121417[[#This Row],[ESTIMADO]]-TabelaDeDespesasOperacionais7121417[[#This Row],[REAL]]</f>
        <v>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8">
        <v>450</v>
      </c>
      <c r="E20" s="8">
        <f>TabelaDeDespesasOperacionais7121417[[#This Row],[REAL]]+(10^-6)*ROW(TabelaDeDespesasOperacionais7121417[[#This Row],[REAL]])</f>
        <v>450.00002000000001</v>
      </c>
      <c r="F20" s="8">
        <f>TabelaDeDespesasOperacionais7121417[[#This Row],[ESTIMADO]]-TabelaDeDespesasOperacionais7121417[[#This Row],[REAL]]</f>
        <v>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8">
        <v>600</v>
      </c>
      <c r="E21" s="8">
        <f>TabelaDeDespesasOperacionais7121417[[#This Row],[REAL]]+(10^-6)*ROW(TabelaDeDespesasOperacionais7121417[[#This Row],[REAL]])</f>
        <v>600.00002099999995</v>
      </c>
      <c r="F21" s="8">
        <f>TabelaDeDespesasOperacionais7121417[[#This Row],[ESTIMADO]]-TabelaDeDespesasOperacionais7121417[[#This Row],[REAL]]</f>
        <v>600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8">
        <v>750</v>
      </c>
      <c r="E22" s="8">
        <f>TabelaDeDespesasOperacionais7121417[[#This Row],[REAL]]+(10^-6)*ROW(TabelaDeDespesasOperacionais7121417[[#This Row],[REAL]])</f>
        <v>750.00002199999994</v>
      </c>
      <c r="F22" s="8">
        <f>TabelaDeDespesasOperacionais7121417[[#This Row],[ESTIMADO]]-TabelaDeDespesasOperacionais7121417[[#This Row],[REAL]]</f>
        <v>1750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>
        <v>5250</v>
      </c>
      <c r="E23" s="8">
        <f>TabelaDeDespesasOperacionais7121417[[#This Row],[REAL]]+(10^-6)*ROW(TabelaDeDespesasOperacionais7121417[[#This Row],[REAL]])</f>
        <v>5250.0000229999996</v>
      </c>
      <c r="F23" s="8">
        <f>TabelaDeDespesasOperacionais7121417[[#This Row],[ESTIMADO]]-TabelaDeDespesasOperacionais7121417[[#This Row],[REAL]]</f>
        <v>750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>
        <v>250</v>
      </c>
      <c r="E24" s="8">
        <f>TabelaDeDespesasOperacionais7121417[[#This Row],[REAL]]+(10^-6)*ROW(TabelaDeDespesasOperacionais7121417[[#This Row],[REAL]])</f>
        <v>250.000024</v>
      </c>
      <c r="F24" s="8">
        <f>TabelaDeDespesasOperacionais7121417[[#This Row],[ESTIMADO]]-TabelaDeDespesasOperacionais7121417[[#This Row],[REAL]]</f>
        <v>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>
        <v>380</v>
      </c>
      <c r="E25" s="8">
        <f>TabelaDeDespesasOperacionais7121417[[#This Row],[REAL]]+(10^-6)*ROW(TabelaDeDespesasOperacionais7121417[[#This Row],[REAL]])</f>
        <v>380.00002499999999</v>
      </c>
      <c r="F25" s="8">
        <f>TabelaDeDespesasOperacionais7121417[[#This Row],[ESTIMADO]]-TabelaDeDespesasOperacionais7121417[[#This Row],[REAL]]</f>
        <v>-80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>
        <v>475</v>
      </c>
      <c r="E26" s="8">
        <f>TabelaDeDespesasOperacionais7121417[[#This Row],[REAL]]+(10^-6)*ROW(TabelaDeDespesasOperacionais7121417[[#This Row],[REAL]])</f>
        <v>475.00002599999999</v>
      </c>
      <c r="F26" s="8">
        <f>TabelaDeDespesasOperacionais7121417[[#This Row],[ESTIMADO]]-TabelaDeDespesasOperacionais7121417[[#This Row],[REAL]]</f>
        <v>-25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>
        <v>135</v>
      </c>
      <c r="E27" s="8">
        <f>TabelaDeDespesasOperacionais7121417[[#This Row],[REAL]]+(10^-6)*ROW(TabelaDeDespesasOperacionais7121417[[#This Row],[REAL]])</f>
        <v>135.00002699999999</v>
      </c>
      <c r="F27" s="8">
        <f>TabelaDeDespesasOperacionais7121417[[#This Row],[ESTIMADO]]-TabelaDeDespesasOperacionais7121417[[#This Row],[REAL]]</f>
        <v>115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>
        <v>150</v>
      </c>
      <c r="E28" s="8">
        <f>TabelaDeDespesasOperacionais7121417[[#This Row],[REAL]]+(10^-6)*ROW(TabelaDeDespesasOperacionais7121417[[#This Row],[REAL]])</f>
        <v>150.00002799999999</v>
      </c>
      <c r="F28" s="8">
        <f>TabelaDeDespesasOperacionais7121417[[#This Row],[ESTIMADO]]-TabelaDeDespesasOperacionais7121417[[#This Row],[REAL]]</f>
        <v>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>
        <v>5500</v>
      </c>
      <c r="E29" s="8">
        <f>TabelaDeDespesasOperacionais7121417[[#This Row],[REAL]]+(10^-6)*ROW(TabelaDeDespesasOperacionais7121417[[#This Row],[REAL]])</f>
        <v>5500.0000289999998</v>
      </c>
      <c r="F29" s="8">
        <f>TabelaDeDespesasOperacionais7121417[[#This Row],[ESTIMADO]]-TabelaDeDespesasOperacionais7121417[[#This Row],[REAL]]</f>
        <v>-1000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>
        <v>1350</v>
      </c>
      <c r="E30" s="8">
        <f>TabelaDeDespesasOperacionais7121417[[#This Row],[REAL]]+(10^-6)*ROW(TabelaDeDespesasOperacionais7121417[[#This Row],[REAL]])</f>
        <v>1350.0000299999999</v>
      </c>
      <c r="F30" s="8">
        <f>TabelaDeDespesasOperacionais7121417[[#This Row],[ESTIMADO]]-TabelaDeDespesasOperacionais7121417[[#This Row],[REAL]]</f>
        <v>150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SUBTOTAL(9,TabelaDeDespesasOperacionais7121417[ESTIMADO])</f>
        <v>17580</v>
      </c>
      <c r="D31" s="12">
        <f>SUBTOTAL(9,TabelaDeDespesasOperacionais7121417[REAL])</f>
        <v>15320</v>
      </c>
      <c r="E31" s="12">
        <f>SUBTOTAL(9,TabelaDeDespesasOperacionais7121417[5 Maiores Quantias])</f>
        <v>15320.000293999998</v>
      </c>
      <c r="F31" s="12">
        <f>SUBTOTAL(9,TabelaDeDespesasOperacionais7121417[DIFERENÇA])</f>
        <v>2260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>
    <tabColor theme="4"/>
    <pageSetUpPr autoPageBreaks="0" fitToPage="1"/>
  </sheetPr>
  <dimension ref="A1:TD10348"/>
  <sheetViews>
    <sheetView showGridLines="0" zoomScale="76" zoomScaleNormal="76" workbookViewId="0">
      <selection activeCell="J11" sqref="J11"/>
    </sheetView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41671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35249</v>
      </c>
      <c r="E5" s="5">
        <f>TabelaDeRendimentos813151923[[#This Row],[REAL]]+(10^-6)*ROW(TabelaDeRendimentos813151923[[#This Row],[REAL]])</f>
        <v>35249.000005000002</v>
      </c>
      <c r="F5" s="5">
        <f>TabelaDeRendimentos813151923[[#This Row],[REAL]]-TabelaDeRendimentos813151923[[#This Row],[ESTIMADO]]</f>
        <v>349</v>
      </c>
      <c r="G5" s="3"/>
      <c r="H5" s="4" t="s">
        <v>6</v>
      </c>
      <c r="I5" s="5">
        <f>TabelaDeRendimentos813151923[[#Totals],[ESTIMADO]]</f>
        <v>157537</v>
      </c>
      <c r="J5" s="5">
        <f>TabelaDeRendimentos813151923[[#Totals],[REAL]]</f>
        <v>159636.5</v>
      </c>
      <c r="K5" s="5">
        <f>TabelaDeTotais914162024[[#This Row],[REAL]]-TabelaDeTotais914162024[[#This Row],[ESTIMADO]]</f>
        <v>2099.5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57667.500000000007</v>
      </c>
      <c r="E6" s="5">
        <f>TabelaDeRendimentos813151923[[#This Row],[REAL]]+(10^-6)*ROW(TabelaDeRendimentos813151923[[#This Row],[REAL]])</f>
        <v>57667.500006000009</v>
      </c>
      <c r="F6" s="5">
        <f>TabelaDeRendimentos813151923[[#This Row],[REAL]]-TabelaDeRendimentos813151923[[#This Row],[ESTIMADO]]</f>
        <v>1747.5</v>
      </c>
      <c r="G6" s="3"/>
      <c r="H6" s="4" t="s">
        <v>7</v>
      </c>
      <c r="I6" s="5">
        <f>TabelaDeDespesasOperacionais712141722[[#Totals],[ESTIMADO]]+TabelaDeDespesasDePessoal1116182125[[#Totals],[ESTIMADO]]</f>
        <v>45860</v>
      </c>
      <c r="J6" s="5">
        <f>TabelaDeDespesasOperacionais712141722[[#Totals],[REAL]]+TabelaDeDespesasDePessoal1116182125[[#Totals],[REAL]]</f>
        <v>48985</v>
      </c>
      <c r="K6" s="5">
        <f>TabelaDeTotais914162024[[#This Row],[ESTIMADO]]-TabelaDeTotais914162024[[#This Row],[REAL]]</f>
        <v>-3125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24081</v>
      </c>
      <c r="E7" s="5">
        <f>TabelaDeRendimentos813151923[[#This Row],[REAL]]+(10^-6)*ROW(TabelaDeRendimentos813151923[[#This Row],[REAL]])</f>
        <v>24081.000006999999</v>
      </c>
      <c r="F7" s="5">
        <f>TabelaDeRendimentos813151923[[#This Row],[REAL]]-TabelaDeRendimentos813151923[[#This Row],[ESTIMADO]]</f>
        <v>-2094</v>
      </c>
      <c r="G7" s="3"/>
      <c r="H7" s="14" t="s">
        <v>8</v>
      </c>
      <c r="I7" s="15">
        <f>I5-I6</f>
        <v>111677</v>
      </c>
      <c r="J7" s="15">
        <f>J5-J6</f>
        <v>110651.5</v>
      </c>
      <c r="K7" s="15">
        <f>TabelaDeTotais914162024[[#Totals],[REAL]]-TabelaDeTotais914162024[[#Totals],[ESTIMADO]]</f>
        <v>-1025.5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9">
        <v>42639</v>
      </c>
      <c r="E8" s="5">
        <f>TabelaDeRendimentos813151923[[#This Row],[REAL]]+(10^-6)*ROW(TabelaDeRendimentos813151923[[#This Row],[REAL]])</f>
        <v>42639.000008000003</v>
      </c>
      <c r="F8" s="9">
        <f>TabelaDeRendimentos813151923[[#This Row],[REAL]]-TabelaDeRendimentos813151923[[#This Row],[ESTIMADO]]</f>
        <v>2097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SUBTOTAL(9,TabelaDeRendimentos813151923[ESTIMADO])</f>
        <v>157537</v>
      </c>
      <c r="D9" s="13">
        <f>SUBTOTAL(9,TabelaDeRendimentos813151923[REAL])</f>
        <v>159636.5</v>
      </c>
      <c r="E9" s="13">
        <f>SUBTOTAL(9,TabelaDeRendimentos813151923[5 Maiores Quantias])</f>
        <v>159636.50002600002</v>
      </c>
      <c r="F9" s="13">
        <f>SUBTOTAL(9,TabelaDeRendimentos813151923[DIFERENÇA])</f>
        <v>2099.5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400</v>
      </c>
      <c r="E12" s="8">
        <f>TabelaDeDespesasDePessoal1116182125[[#This Row],[REAL]]+(10^-6)*ROW(TabelaDeDespesasDePessoal1116182125[[#This Row],[REAL]])</f>
        <v>400.00001200000003</v>
      </c>
      <c r="F12" s="5">
        <f>TabelaDeDespesasDePessoal1116182125[[#This Row],[ESTIMADO]]-TabelaDeDespesasDePessoal1116182125[[#This Row],[REAL]]</f>
        <v>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300</v>
      </c>
      <c r="E13" s="8">
        <f>TabelaDeDespesasDePessoal1116182125[[#This Row],[REAL]]+(10^-6)*ROW(TabelaDeDespesasDePessoal1116182125[[#This Row],[REAL]])</f>
        <v>300.00001300000002</v>
      </c>
      <c r="F13" s="5">
        <f>TabelaDeDespesasDePessoal1116182125[[#This Row],[ESTIMADO]]-TabelaDeDespesasDePessoal1116182125[[#This Row],[REAL]]</f>
        <v>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13500</v>
      </c>
      <c r="E14" s="8">
        <f>TabelaDeDespesasDePessoal1116182125[[#This Row],[REAL]]+(10^-6)*ROW(TabelaDeDespesasDePessoal1116182125[[#This Row],[REAL]])</f>
        <v>13500.000013999999</v>
      </c>
      <c r="F14" s="5">
        <f>TabelaDeDespesasDePessoal1116182125[[#This Row],[ESTIMADO]]-TabelaDeDespesasDePessoal1116182125[[#This Row],[REAL]]</f>
        <v>-1000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14700</v>
      </c>
      <c r="E15" s="8">
        <f>TabelaDeDespesasDePessoal1116182125[[#This Row],[REAL]]+(10^-6)*ROW(TabelaDeDespesasDePessoal1116182125[[#This Row],[REAL]])</f>
        <v>14700.000015</v>
      </c>
      <c r="F15" s="5">
        <f>TabelaDeDespesasDePessoal1116182125[[#This Row],[ESTIMADO]]-TabelaDeDespesasDePessoal1116182125[[#This Row],[REAL]]</f>
        <v>300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SUBTOTAL(9,TabelaDeDespesasDePessoal1116182125[ESTIMADO])</f>
        <v>28280</v>
      </c>
      <c r="D16" s="12">
        <f>SUBTOTAL(9,TabelaDeDespesasDePessoal1116182125[REAL])</f>
        <v>28900</v>
      </c>
      <c r="E16" s="12">
        <f>SUBTOTAL(9,TabelaDeDespesasDePessoal1116182125[5 Maiores Quantias])</f>
        <v>28900.000053999996</v>
      </c>
      <c r="F16" s="12">
        <f>SUBTOTAL(9,TabelaDeDespesasDePessoal1116182125[DIFERENÇA])</f>
        <v>-620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8">
        <v>30</v>
      </c>
      <c r="E19" s="8">
        <f>TabelaDeDespesasOperacionais712141722[[#This Row],[REAL]]+(10^-6)*ROW(TabelaDeDespesasOperacionais712141722[[#This Row],[REAL]])</f>
        <v>30.000019000000002</v>
      </c>
      <c r="F19" s="8">
        <f>TabelaDeDespesasOperacionais712141722[[#This Row],[ESTIMADO]]-TabelaDeDespesasOperacionais712141722[[#This Row],[REAL]]</f>
        <v>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8">
        <v>450</v>
      </c>
      <c r="E20" s="8">
        <f>TabelaDeDespesasOperacionais712141722[[#This Row],[REAL]]+(10^-6)*ROW(TabelaDeDespesasOperacionais712141722[[#This Row],[REAL]])</f>
        <v>450.00002000000001</v>
      </c>
      <c r="F20" s="8">
        <f>TabelaDeDespesasOperacionais712141722[[#This Row],[ESTIMADO]]-TabelaDeDespesasOperacionais712141722[[#This Row],[REAL]]</f>
        <v>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8">
        <v>2750</v>
      </c>
      <c r="E21" s="8">
        <f>TabelaDeDespesasOperacionais712141722[[#This Row],[REAL]]+(10^-6)*ROW(TabelaDeDespesasOperacionais712141722[[#This Row],[REAL]])</f>
        <v>2750.0000209999998</v>
      </c>
      <c r="F21" s="8">
        <f>TabelaDeDespesasOperacionais712141722[[#This Row],[ESTIMADO]]-TabelaDeDespesasOperacionais712141722[[#This Row],[REAL]]</f>
        <v>-1550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8">
        <v>3500</v>
      </c>
      <c r="E22" s="8">
        <f>TabelaDeDespesasOperacionais712141722[[#This Row],[REAL]]+(10^-6)*ROW(TabelaDeDespesasOperacionais712141722[[#This Row],[REAL]])</f>
        <v>3500.0000220000002</v>
      </c>
      <c r="F22" s="8">
        <f>TabelaDeDespesasOperacionais712141722[[#This Row],[ESTIMADO]]-TabelaDeDespesasOperacionais712141722[[#This Row],[REAL]]</f>
        <v>-1000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>
        <v>6500</v>
      </c>
      <c r="E23" s="8">
        <f>TabelaDeDespesasOperacionais712141722[[#This Row],[REAL]]+(10^-6)*ROW(TabelaDeDespesasOperacionais712141722[[#This Row],[REAL]])</f>
        <v>6500.0000229999996</v>
      </c>
      <c r="F23" s="8">
        <f>TabelaDeDespesasOperacionais712141722[[#This Row],[ESTIMADO]]-TabelaDeDespesasOperacionais712141722[[#This Row],[REAL]]</f>
        <v>-500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>
        <v>250</v>
      </c>
      <c r="E24" s="8">
        <f>TabelaDeDespesasOperacionais712141722[[#This Row],[REAL]]+(10^-6)*ROW(TabelaDeDespesasOperacionais712141722[[#This Row],[REAL]])</f>
        <v>250.000024</v>
      </c>
      <c r="F24" s="8">
        <f>TabelaDeDespesasOperacionais712141722[[#This Row],[ESTIMADO]]-TabelaDeDespesasOperacionais712141722[[#This Row],[REAL]]</f>
        <v>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>
        <v>450</v>
      </c>
      <c r="E25" s="8">
        <f>TabelaDeDespesasOperacionais712141722[[#This Row],[REAL]]+(10^-6)*ROW(TabelaDeDespesasOperacionais712141722[[#This Row],[REAL]])</f>
        <v>450.00002499999999</v>
      </c>
      <c r="F25" s="8">
        <f>TabelaDeDespesasOperacionais712141722[[#This Row],[ESTIMADO]]-TabelaDeDespesasOperacionais712141722[[#This Row],[REAL]]</f>
        <v>-150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>
        <v>400</v>
      </c>
      <c r="E26" s="8">
        <f>TabelaDeDespesasOperacionais712141722[[#This Row],[REAL]]+(10^-6)*ROW(TabelaDeDespesasOperacionais712141722[[#This Row],[REAL]])</f>
        <v>400.00002599999999</v>
      </c>
      <c r="F26" s="8">
        <f>TabelaDeDespesasOperacionais712141722[[#This Row],[ESTIMADO]]-TabelaDeDespesasOperacionais712141722[[#This Row],[REAL]]</f>
        <v>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>
        <v>115</v>
      </c>
      <c r="E27" s="8">
        <f>TabelaDeDespesasOperacionais712141722[[#This Row],[REAL]]+(10^-6)*ROW(TabelaDeDespesasOperacionais712141722[[#This Row],[REAL]])</f>
        <v>115.000027</v>
      </c>
      <c r="F27" s="8">
        <f>TabelaDeDespesasOperacionais712141722[[#This Row],[ESTIMADO]]-TabelaDeDespesasOperacionais712141722[[#This Row],[REAL]]</f>
        <v>135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>
        <v>190</v>
      </c>
      <c r="E28" s="8">
        <f>TabelaDeDespesasOperacionais712141722[[#This Row],[REAL]]+(10^-6)*ROW(TabelaDeDespesasOperacionais712141722[[#This Row],[REAL]])</f>
        <v>190.00002799999999</v>
      </c>
      <c r="F28" s="8">
        <f>TabelaDeDespesasOperacionais712141722[[#This Row],[ESTIMADO]]-TabelaDeDespesasOperacionais712141722[[#This Row],[REAL]]</f>
        <v>-40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>
        <v>4200</v>
      </c>
      <c r="E29" s="8">
        <f>TabelaDeDespesasOperacionais712141722[[#This Row],[REAL]]+(10^-6)*ROW(TabelaDeDespesasOperacionais712141722[[#This Row],[REAL]])</f>
        <v>4200.0000289999998</v>
      </c>
      <c r="F29" s="8">
        <f>TabelaDeDespesasOperacionais712141722[[#This Row],[ESTIMADO]]-TabelaDeDespesasOperacionais712141722[[#This Row],[REAL]]</f>
        <v>300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>
        <v>1250</v>
      </c>
      <c r="E30" s="8">
        <f>TabelaDeDespesasOperacionais712141722[[#This Row],[REAL]]+(10^-6)*ROW(TabelaDeDespesasOperacionais712141722[[#This Row],[REAL]])</f>
        <v>1250.0000299999999</v>
      </c>
      <c r="F30" s="8">
        <f>TabelaDeDespesasOperacionais712141722[[#This Row],[ESTIMADO]]-TabelaDeDespesasOperacionais712141722[[#This Row],[REAL]]</f>
        <v>250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SUBTOTAL(9,TabelaDeDespesasOperacionais712141722[ESTIMADO])</f>
        <v>17580</v>
      </c>
      <c r="D31" s="12">
        <f>SUBTOTAL(9,TabelaDeDespesasOperacionais712141722[REAL])</f>
        <v>20085</v>
      </c>
      <c r="E31" s="12">
        <f>SUBTOTAL(9,TabelaDeDespesasOperacionais712141722[5 Maiores Quantias])</f>
        <v>20085.000293999998</v>
      </c>
      <c r="F31" s="12">
        <f>SUBTOTAL(9,TabelaDeDespesasOperacionais712141722[DIFERENÇA])</f>
        <v>-2505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2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41730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TabelaDeRendimentos81315192327[[#This Row],[REAL]]+(10^-6)*ROW(TabelaDeRendimentos81315192327[[#This Row],[REAL]])</f>
        <v>4.9999999999999996E-6</v>
      </c>
      <c r="F5" s="5">
        <f>TabelaDeRendimentos81315192327[[#This Row],[REAL]]-TabelaDeRendimentos81315192327[[#This Row],[ESTIMADO]]</f>
        <v>-34900</v>
      </c>
      <c r="G5" s="3"/>
      <c r="H5" s="4" t="s">
        <v>6</v>
      </c>
      <c r="I5" s="5">
        <f>TabelaDeRendimentos81315192327[[#Totals],[ESTIMADO]]</f>
        <v>157537</v>
      </c>
      <c r="J5" s="5">
        <f>TabelaDeRendimentos81315192327[[#Totals],[REAL]]</f>
        <v>0</v>
      </c>
      <c r="K5" s="5">
        <f>TabelaDeTotais91416202428[[#This Row],[REAL]]-TabelaDeTotais91416202428[[#This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TabelaDeRendimentos81315192327[[#This Row],[REAL]]+(10^-6)*ROW(TabelaDeRendimentos81315192327[[#This Row],[REAL]])</f>
        <v>6.0000000000000002E-6</v>
      </c>
      <c r="F6" s="5">
        <f>TabelaDeRendimentos81315192327[[#This Row],[REAL]]-TabelaDeRendimentos81315192327[[#This Row],[ESTIMADO]]</f>
        <v>-55920.000000000007</v>
      </c>
      <c r="G6" s="3"/>
      <c r="H6" s="4" t="s">
        <v>7</v>
      </c>
      <c r="I6" s="5">
        <f>TabelaDeDespesasOperacionais71214172226[[#Totals],[ESTIMADO]]+TabelaDeDespesasDePessoal111618212529[[#Totals],[ESTIMADO]]</f>
        <v>45860</v>
      </c>
      <c r="J6" s="5">
        <f>TabelaDeDespesasOperacionais71214172226[[#Totals],[REAL]]+TabelaDeDespesasDePessoal111618212529[[#Totals],[REAL]]</f>
        <v>0</v>
      </c>
      <c r="K6" s="5">
        <f>TabelaDeTotais91416202428[[#This Row],[ESTIMADO]]-TabelaDeTotais91416202428[[#This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TabelaDeRendimentos81315192327[[#This Row],[REAL]]+(10^-6)*ROW(TabelaDeRendimentos81315192327[[#This Row],[REAL]])</f>
        <v>6.9999999999999999E-6</v>
      </c>
      <c r="F7" s="5">
        <f>TabelaDeRendimentos81315192327[[#This Row],[REAL]]-TabelaDeRendimentos81315192327[[#This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TabelaDeTotais91416202428[[#Totals],[REAL]]-TabelaDeTotais91416202428[[#Totals],[ESTIMADO]]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TabelaDeRendimentos81315192327[[#This Row],[REAL]]+(10^-6)*ROW(TabelaDeRendimentos81315192327[[#This Row],[REAL]])</f>
        <v>7.9999999999999996E-6</v>
      </c>
      <c r="F8" s="9">
        <f>TabelaDeRendimentos81315192327[[#This Row],[REAL]]-TabelaDeRendimentos81315192327[[#This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SUBTOTAL(9,TabelaDeRendimentos81315192327[ESTIMADO])</f>
        <v>157537</v>
      </c>
      <c r="D9" s="13">
        <f>SUBTOTAL(9,TabelaDeRendimentos81315192327[REAL])</f>
        <v>0</v>
      </c>
      <c r="E9" s="13">
        <f>SUBTOTAL(9,TabelaDeRendimentos81315192327[5 Maiores Quantias])</f>
        <v>2.6000000000000002E-5</v>
      </c>
      <c r="F9" s="13">
        <f>SUBTOTAL(9,TabelaDeRendimentos81315192327[DIFERENÇA])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TabelaDeDespesasDePessoal111618212529[[#This Row],[REAL]]+(10^-6)*ROW(TabelaDeDespesasDePessoal111618212529[[#This Row],[REAL]])</f>
        <v>1.2E-5</v>
      </c>
      <c r="F12" s="5">
        <f>TabelaDeDespesasDePessoal111618212529[[#This Row],[ESTIMADO]]-TabelaDeDespesasDePessoal111618212529[[#This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TabelaDeDespesasDePessoal111618212529[[#This Row],[REAL]]+(10^-6)*ROW(TabelaDeDespesasDePessoal111618212529[[#This Row],[REAL]])</f>
        <v>1.2999999999999999E-5</v>
      </c>
      <c r="F13" s="5">
        <f>TabelaDeDespesasDePessoal111618212529[[#This Row],[ESTIMADO]]-TabelaDeDespesasDePessoal111618212529[[#This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TabelaDeDespesasDePessoal111618212529[[#This Row],[REAL]]+(10^-6)*ROW(TabelaDeDespesasDePessoal111618212529[[#This Row],[REAL]])</f>
        <v>1.4E-5</v>
      </c>
      <c r="F14" s="5">
        <f>TabelaDeDespesasDePessoal111618212529[[#This Row],[ESTIMADO]]-TabelaDeDespesasDePessoal111618212529[[#This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TabelaDeDespesasDePessoal111618212529[[#This Row],[REAL]]+(10^-6)*ROW(TabelaDeDespesasDePessoal111618212529[[#This Row],[REAL]])</f>
        <v>1.4999999999999999E-5</v>
      </c>
      <c r="F15" s="5">
        <f>TabelaDeDespesasDePessoal111618212529[[#This Row],[ESTIMADO]]-TabelaDeDespesasDePessoal111618212529[[#This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SUBTOTAL(9,TabelaDeDespesasDePessoal111618212529[ESTIMADO])</f>
        <v>28280</v>
      </c>
      <c r="D16" s="12">
        <f>SUBTOTAL(9,TabelaDeDespesasDePessoal111618212529[REAL])</f>
        <v>0</v>
      </c>
      <c r="E16" s="12">
        <f>SUBTOTAL(9,TabelaDeDespesasDePessoal111618212529[5 Maiores Quantias])</f>
        <v>5.3999999999999998E-5</v>
      </c>
      <c r="F16" s="12">
        <f>SUBTOTAL(9,TabelaDeDespesasDePessoal111618212529[DIFERENÇA])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8">
        <v>0</v>
      </c>
      <c r="E19" s="8">
        <f>TabelaDeDespesasOperacionais71214172226[[#This Row],[REAL]]+(10^-6)*ROW(TabelaDeDespesasOperacionais71214172226[[#This Row],[REAL]])</f>
        <v>1.8999999999999998E-5</v>
      </c>
      <c r="F19" s="8">
        <f>TabelaDeDespesasOperacionais71214172226[[#This Row],[ESTIMADO]]-TabelaDeDespesasOperacionais71214172226[[#This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8">
        <v>0</v>
      </c>
      <c r="E20" s="8">
        <f>TabelaDeDespesasOperacionais71214172226[[#This Row],[REAL]]+(10^-6)*ROW(TabelaDeDespesasOperacionais71214172226[[#This Row],[REAL]])</f>
        <v>1.9999999999999998E-5</v>
      </c>
      <c r="F20" s="8">
        <f>TabelaDeDespesasOperacionais71214172226[[#This Row],[ESTIMADO]]-TabelaDeDespesasOperacionais71214172226[[#This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8">
        <v>0</v>
      </c>
      <c r="E21" s="8">
        <f>TabelaDeDespesasOperacionais71214172226[[#This Row],[REAL]]+(10^-6)*ROW(TabelaDeDespesasOperacionais71214172226[[#This Row],[REAL]])</f>
        <v>2.0999999999999999E-5</v>
      </c>
      <c r="F21" s="8">
        <f>TabelaDeDespesasOperacionais71214172226[[#This Row],[ESTIMADO]]-TabelaDeDespesasOperacionais71214172226[[#This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8">
        <v>0</v>
      </c>
      <c r="E22" s="8">
        <f>TabelaDeDespesasOperacionais71214172226[[#This Row],[REAL]]+(10^-6)*ROW(TabelaDeDespesasOperacionais71214172226[[#This Row],[REAL]])</f>
        <v>2.1999999999999999E-5</v>
      </c>
      <c r="F22" s="8">
        <f>TabelaDeDespesasOperacionais71214172226[[#This Row],[ESTIMADO]]-TabelaDeDespesasOperacionais71214172226[[#This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>
        <v>0</v>
      </c>
      <c r="E23" s="8">
        <f>TabelaDeDespesasOperacionais71214172226[[#This Row],[REAL]]+(10^-6)*ROW(TabelaDeDespesasOperacionais71214172226[[#This Row],[REAL]])</f>
        <v>2.3E-5</v>
      </c>
      <c r="F23" s="8">
        <f>TabelaDeDespesasOperacionais71214172226[[#This Row],[ESTIMADO]]-TabelaDeDespesasOperacionais71214172226[[#This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>
        <v>0</v>
      </c>
      <c r="E24" s="8">
        <f>TabelaDeDespesasOperacionais71214172226[[#This Row],[REAL]]+(10^-6)*ROW(TabelaDeDespesasOperacionais71214172226[[#This Row],[REAL]])</f>
        <v>2.4000000000000001E-5</v>
      </c>
      <c r="F24" s="8">
        <f>TabelaDeDespesasOperacionais71214172226[[#This Row],[ESTIMADO]]-TabelaDeDespesasOperacionais71214172226[[#This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>
        <v>0</v>
      </c>
      <c r="E25" s="8">
        <f>TabelaDeDespesasOperacionais71214172226[[#This Row],[REAL]]+(10^-6)*ROW(TabelaDeDespesasOperacionais71214172226[[#This Row],[REAL]])</f>
        <v>2.4999999999999998E-5</v>
      </c>
      <c r="F25" s="8">
        <f>TabelaDeDespesasOperacionais71214172226[[#This Row],[ESTIMADO]]-TabelaDeDespesasOperacionais71214172226[[#This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>
        <v>0</v>
      </c>
      <c r="E26" s="8">
        <f>TabelaDeDespesasOperacionais71214172226[[#This Row],[REAL]]+(10^-6)*ROW(TabelaDeDespesasOperacionais71214172226[[#This Row],[REAL]])</f>
        <v>2.5999999999999998E-5</v>
      </c>
      <c r="F26" s="8">
        <f>TabelaDeDespesasOperacionais71214172226[[#This Row],[ESTIMADO]]-TabelaDeDespesasOperacionais71214172226[[#This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>
        <v>0</v>
      </c>
      <c r="E27" s="8">
        <f>TabelaDeDespesasOperacionais71214172226[[#This Row],[REAL]]+(10^-6)*ROW(TabelaDeDespesasOperacionais71214172226[[#This Row],[REAL]])</f>
        <v>2.6999999999999999E-5</v>
      </c>
      <c r="F27" s="8">
        <f>TabelaDeDespesasOperacionais71214172226[[#This Row],[ESTIMADO]]-TabelaDeDespesasOperacionais71214172226[[#This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>
        <v>0</v>
      </c>
      <c r="E28" s="8">
        <f>TabelaDeDespesasOperacionais71214172226[[#This Row],[REAL]]+(10^-6)*ROW(TabelaDeDespesasOperacionais71214172226[[#This Row],[REAL]])</f>
        <v>2.8E-5</v>
      </c>
      <c r="F28" s="8">
        <f>TabelaDeDespesasOperacionais71214172226[[#This Row],[ESTIMADO]]-TabelaDeDespesasOperacionais71214172226[[#This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>
        <v>0</v>
      </c>
      <c r="E29" s="8">
        <f>TabelaDeDespesasOperacionais71214172226[[#This Row],[REAL]]+(10^-6)*ROW(TabelaDeDespesasOperacionais71214172226[[#This Row],[REAL]])</f>
        <v>2.9E-5</v>
      </c>
      <c r="F29" s="8">
        <f>TabelaDeDespesasOperacionais71214172226[[#This Row],[ESTIMADO]]-TabelaDeDespesasOperacionais71214172226[[#This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>
        <v>0</v>
      </c>
      <c r="E30" s="8">
        <f>TabelaDeDespesasOperacionais71214172226[[#This Row],[REAL]]+(10^-6)*ROW(TabelaDeDespesasOperacionais71214172226[[#This Row],[REAL]])</f>
        <v>2.9999999999999997E-5</v>
      </c>
      <c r="F30" s="8">
        <f>TabelaDeDespesasOperacionais71214172226[[#This Row],[ESTIMADO]]-TabelaDeDespesasOperacionais71214172226[[#This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SUBTOTAL(9,TabelaDeDespesasOperacionais71214172226[ESTIMADO])</f>
        <v>17580</v>
      </c>
      <c r="D31" s="12">
        <f>SUBTOTAL(9,TabelaDeDespesasOperacionais71214172226[REAL])</f>
        <v>0</v>
      </c>
      <c r="E31" s="12">
        <f>SUBTOTAL(9,TabelaDeDespesasOperacionais71214172226[5 Maiores Quantias])</f>
        <v>2.9399999999999999E-4</v>
      </c>
      <c r="F31" s="12">
        <f>SUBTOTAL(9,TabelaDeDespesasOperacionais71214172226[DIFERENÇA])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41760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TabelaDeRendimentos8131519232731[[#This Row],[REAL]]+(10^-6)*ROW(TabelaDeRendimentos8131519232731[[#This Row],[REAL]])</f>
        <v>4.9999999999999996E-6</v>
      </c>
      <c r="F5" s="5">
        <f>TabelaDeRendimentos8131519232731[[#This Row],[REAL]]-TabelaDeRendimentos8131519232731[[#This Row],[ESTIMADO]]</f>
        <v>-34900</v>
      </c>
      <c r="G5" s="3"/>
      <c r="H5" s="4" t="s">
        <v>6</v>
      </c>
      <c r="I5" s="5">
        <f>TabelaDeRendimentos8131519232731[[#Totals],[ESTIMADO]]</f>
        <v>157537</v>
      </c>
      <c r="J5" s="5">
        <f>TabelaDeRendimentos8131519232731[[#Totals],[REAL]]</f>
        <v>0</v>
      </c>
      <c r="K5" s="5">
        <f>TabelaDeTotais9141620242832[[#This Row],[REAL]]-TabelaDeTotais9141620242832[[#This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TabelaDeRendimentos8131519232731[[#This Row],[REAL]]+(10^-6)*ROW(TabelaDeRendimentos8131519232731[[#This Row],[REAL]])</f>
        <v>6.0000000000000002E-6</v>
      </c>
      <c r="F6" s="5">
        <f>TabelaDeRendimentos8131519232731[[#This Row],[REAL]]-TabelaDeRendimentos8131519232731[[#This Row],[ESTIMADO]]</f>
        <v>-55920.000000000007</v>
      </c>
      <c r="G6" s="3"/>
      <c r="H6" s="4" t="s">
        <v>7</v>
      </c>
      <c r="I6" s="5">
        <f>TabelaDeDespesasOperacionais7121417222630[[#Totals],[ESTIMADO]]+TabelaDeDespesasDePessoal11161821252933[[#Totals],[ESTIMADO]]</f>
        <v>45860</v>
      </c>
      <c r="J6" s="5">
        <f>TabelaDeDespesasOperacionais7121417222630[[#Totals],[REAL]]+TabelaDeDespesasDePessoal11161821252933[[#Totals],[REAL]]</f>
        <v>0</v>
      </c>
      <c r="K6" s="5">
        <f>TabelaDeTotais9141620242832[[#This Row],[ESTIMADO]]-TabelaDeTotais9141620242832[[#This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TabelaDeRendimentos8131519232731[[#This Row],[REAL]]+(10^-6)*ROW(TabelaDeRendimentos8131519232731[[#This Row],[REAL]])</f>
        <v>6.9999999999999999E-6</v>
      </c>
      <c r="F7" s="5">
        <f>TabelaDeRendimentos8131519232731[[#This Row],[REAL]]-TabelaDeRendimentos8131519232731[[#This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TabelaDeTotais9141620242832[[#Totals],[REAL]]-TabelaDeTotais9141620242832[[#Totals],[ESTIMADO]]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TabelaDeRendimentos8131519232731[[#This Row],[REAL]]+(10^-6)*ROW(TabelaDeRendimentos8131519232731[[#This Row],[REAL]])</f>
        <v>7.9999999999999996E-6</v>
      </c>
      <c r="F8" s="9">
        <f>TabelaDeRendimentos8131519232731[[#This Row],[REAL]]-TabelaDeRendimentos8131519232731[[#This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SUBTOTAL(9,TabelaDeRendimentos8131519232731[ESTIMADO])</f>
        <v>157537</v>
      </c>
      <c r="D9" s="13">
        <f>SUBTOTAL(9,TabelaDeRendimentos8131519232731[REAL])</f>
        <v>0</v>
      </c>
      <c r="E9" s="13">
        <f>SUBTOTAL(9,TabelaDeRendimentos8131519232731[5 Maiores Quantias])</f>
        <v>2.6000000000000002E-5</v>
      </c>
      <c r="F9" s="13">
        <f>SUBTOTAL(9,TabelaDeRendimentos8131519232731[DIFERENÇA])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TabelaDeDespesasDePessoal11161821252933[[#This Row],[REAL]]+(10^-6)*ROW(TabelaDeDespesasDePessoal11161821252933[[#This Row],[REAL]])</f>
        <v>1.2E-5</v>
      </c>
      <c r="F12" s="5">
        <f>TabelaDeDespesasDePessoal11161821252933[[#This Row],[ESTIMADO]]-TabelaDeDespesasDePessoal11161821252933[[#This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TabelaDeDespesasDePessoal11161821252933[[#This Row],[REAL]]+(10^-6)*ROW(TabelaDeDespesasDePessoal11161821252933[[#This Row],[REAL]])</f>
        <v>1.2999999999999999E-5</v>
      </c>
      <c r="F13" s="5">
        <f>TabelaDeDespesasDePessoal11161821252933[[#This Row],[ESTIMADO]]-TabelaDeDespesasDePessoal11161821252933[[#This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TabelaDeDespesasDePessoal11161821252933[[#This Row],[REAL]]+(10^-6)*ROW(TabelaDeDespesasDePessoal11161821252933[[#This Row],[REAL]])</f>
        <v>1.4E-5</v>
      </c>
      <c r="F14" s="5">
        <f>TabelaDeDespesasDePessoal11161821252933[[#This Row],[ESTIMADO]]-TabelaDeDespesasDePessoal11161821252933[[#This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TabelaDeDespesasDePessoal11161821252933[[#This Row],[REAL]]+(10^-6)*ROW(TabelaDeDespesasDePessoal11161821252933[[#This Row],[REAL]])</f>
        <v>1.4999999999999999E-5</v>
      </c>
      <c r="F15" s="5">
        <f>TabelaDeDespesasDePessoal11161821252933[[#This Row],[ESTIMADO]]-TabelaDeDespesasDePessoal11161821252933[[#This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SUBTOTAL(9,TabelaDeDespesasDePessoal11161821252933[ESTIMADO])</f>
        <v>28280</v>
      </c>
      <c r="D16" s="12">
        <f>SUBTOTAL(9,TabelaDeDespesasDePessoal11161821252933[REAL])</f>
        <v>0</v>
      </c>
      <c r="E16" s="12">
        <f>SUBTOTAL(9,TabelaDeDespesasDePessoal11161821252933[5 Maiores Quantias])</f>
        <v>5.3999999999999998E-5</v>
      </c>
      <c r="F16" s="12">
        <f>SUBTOTAL(9,TabelaDeDespesasDePessoal11161821252933[DIFERENÇA])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TabelaDeDespesasOperacionais7121417222630[[#This Row],[REAL]]+(10^-6)*ROW(TabelaDeDespesasOperacionais7121417222630[[#This Row],[REAL]])</f>
        <v>1.8999999999999998E-5</v>
      </c>
      <c r="F19" s="8">
        <f>TabelaDeDespesasOperacionais7121417222630[[#This Row],[ESTIMADO]]-TabelaDeDespesasOperacionais7121417222630[[#This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TabelaDeDespesasOperacionais7121417222630[[#This Row],[REAL]]+(10^-6)*ROW(TabelaDeDespesasOperacionais7121417222630[[#This Row],[REAL]])</f>
        <v>1.9999999999999998E-5</v>
      </c>
      <c r="F20" s="8">
        <f>TabelaDeDespesasOperacionais7121417222630[[#This Row],[ESTIMADO]]-TabelaDeDespesasOperacionais7121417222630[[#This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TabelaDeDespesasOperacionais7121417222630[[#This Row],[REAL]]+(10^-6)*ROW(TabelaDeDespesasOperacionais7121417222630[[#This Row],[REAL]])</f>
        <v>2.0999999999999999E-5</v>
      </c>
      <c r="F21" s="8">
        <f>TabelaDeDespesasOperacionais7121417222630[[#This Row],[ESTIMADO]]-TabelaDeDespesasOperacionais7121417222630[[#This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TabelaDeDespesasOperacionais7121417222630[[#This Row],[REAL]]+(10^-6)*ROW(TabelaDeDespesasOperacionais7121417222630[[#This Row],[REAL]])</f>
        <v>2.1999999999999999E-5</v>
      </c>
      <c r="F22" s="8">
        <f>TabelaDeDespesasOperacionais7121417222630[[#This Row],[ESTIMADO]]-TabelaDeDespesasOperacionais7121417222630[[#This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TabelaDeDespesasOperacionais7121417222630[[#This Row],[REAL]]+(10^-6)*ROW(TabelaDeDespesasOperacionais7121417222630[[#This Row],[REAL]])</f>
        <v>2.3E-5</v>
      </c>
      <c r="F23" s="8">
        <f>TabelaDeDespesasOperacionais7121417222630[[#This Row],[ESTIMADO]]-TabelaDeDespesasOperacionais7121417222630[[#This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TabelaDeDespesasOperacionais7121417222630[[#This Row],[REAL]]+(10^-6)*ROW(TabelaDeDespesasOperacionais7121417222630[[#This Row],[REAL]])</f>
        <v>2.4000000000000001E-5</v>
      </c>
      <c r="F24" s="8">
        <f>TabelaDeDespesasOperacionais7121417222630[[#This Row],[ESTIMADO]]-TabelaDeDespesasOperacionais7121417222630[[#This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TabelaDeDespesasOperacionais7121417222630[[#This Row],[REAL]]+(10^-6)*ROW(TabelaDeDespesasOperacionais7121417222630[[#This Row],[REAL]])</f>
        <v>2.4999999999999998E-5</v>
      </c>
      <c r="F25" s="8">
        <f>TabelaDeDespesasOperacionais7121417222630[[#This Row],[ESTIMADO]]-TabelaDeDespesasOperacionais7121417222630[[#This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TabelaDeDespesasOperacionais7121417222630[[#This Row],[REAL]]+(10^-6)*ROW(TabelaDeDespesasOperacionais7121417222630[[#This Row],[REAL]])</f>
        <v>2.5999999999999998E-5</v>
      </c>
      <c r="F26" s="8">
        <f>TabelaDeDespesasOperacionais7121417222630[[#This Row],[ESTIMADO]]-TabelaDeDespesasOperacionais7121417222630[[#This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TabelaDeDespesasOperacionais7121417222630[[#This Row],[REAL]]+(10^-6)*ROW(TabelaDeDespesasOperacionais7121417222630[[#This Row],[REAL]])</f>
        <v>2.6999999999999999E-5</v>
      </c>
      <c r="F27" s="8">
        <f>TabelaDeDespesasOperacionais7121417222630[[#This Row],[ESTIMADO]]-TabelaDeDespesasOperacionais7121417222630[[#This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TabelaDeDespesasOperacionais7121417222630[[#This Row],[REAL]]+(10^-6)*ROW(TabelaDeDespesasOperacionais7121417222630[[#This Row],[REAL]])</f>
        <v>2.8E-5</v>
      </c>
      <c r="F28" s="8">
        <f>TabelaDeDespesasOperacionais7121417222630[[#This Row],[ESTIMADO]]-TabelaDeDespesasOperacionais7121417222630[[#This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TabelaDeDespesasOperacionais7121417222630[[#This Row],[REAL]]+(10^-6)*ROW(TabelaDeDespesasOperacionais7121417222630[[#This Row],[REAL]])</f>
        <v>2.9E-5</v>
      </c>
      <c r="F29" s="8">
        <f>TabelaDeDespesasOperacionais7121417222630[[#This Row],[ESTIMADO]]-TabelaDeDespesasOperacionais7121417222630[[#This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TabelaDeDespesasOperacionais7121417222630[[#This Row],[REAL]]+(10^-6)*ROW(TabelaDeDespesasOperacionais7121417222630[[#This Row],[REAL]])</f>
        <v>2.9999999999999997E-5</v>
      </c>
      <c r="F30" s="8">
        <f>TabelaDeDespesasOperacionais7121417222630[[#This Row],[ESTIMADO]]-TabelaDeDespesasOperacionais7121417222630[[#This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SUBTOTAL(9,TabelaDeDespesasOperacionais7121417222630[ESTIMADO])</f>
        <v>17580</v>
      </c>
      <c r="D31" s="12">
        <f>SUBTOTAL(9,TabelaDeDespesasOperacionais7121417222630[REAL])</f>
        <v>0</v>
      </c>
      <c r="E31" s="12">
        <f>SUBTOTAL(9,TabelaDeDespesasOperacionais7121417222630[5 Maiores Quantias])</f>
        <v>2.9399999999999999E-4</v>
      </c>
      <c r="F31" s="12">
        <f>SUBTOTAL(9,TabelaDeDespesasOperacionais7121417222630[DIFERENÇA])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41791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TabelaDeRendimentos813151923273135[[#This Row],[REAL]]+(10^-6)*ROW(TabelaDeRendimentos813151923273135[[#This Row],[REAL]])</f>
        <v>4.9999999999999996E-6</v>
      </c>
      <c r="F5" s="5">
        <f>TabelaDeRendimentos813151923273135[[#This Row],[REAL]]-TabelaDeRendimentos813151923273135[[#This Row],[ESTIMADO]]</f>
        <v>-34900</v>
      </c>
      <c r="G5" s="3"/>
      <c r="H5" s="4" t="s">
        <v>6</v>
      </c>
      <c r="I5" s="5">
        <f>TabelaDeRendimentos813151923273135[[#Totals],[ESTIMADO]]</f>
        <v>157537</v>
      </c>
      <c r="J5" s="5">
        <f>TabelaDeRendimentos813151923273135[[#Totals],[REAL]]</f>
        <v>0</v>
      </c>
      <c r="K5" s="5">
        <f>TabelaDeTotais914162024283236[[#This Row],[REAL]]-TabelaDeTotais914162024283236[[#This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TabelaDeRendimentos813151923273135[[#This Row],[REAL]]+(10^-6)*ROW(TabelaDeRendimentos813151923273135[[#This Row],[REAL]])</f>
        <v>6.0000000000000002E-6</v>
      </c>
      <c r="F6" s="5">
        <f>TabelaDeRendimentos813151923273135[[#This Row],[REAL]]-TabelaDeRendimentos813151923273135[[#This Row],[ESTIMADO]]</f>
        <v>-55920.000000000007</v>
      </c>
      <c r="G6" s="3"/>
      <c r="H6" s="4" t="s">
        <v>7</v>
      </c>
      <c r="I6" s="5">
        <f>TabelaDeDespesasOperacionais712141722263034[[#Totals],[ESTIMADO]]+TabelaDeDespesasDePessoal1116182125293337[[#Totals],[ESTIMADO]]</f>
        <v>45860</v>
      </c>
      <c r="J6" s="5">
        <f>TabelaDeDespesasOperacionais712141722263034[[#Totals],[REAL]]+TabelaDeDespesasDePessoal1116182125293337[[#Totals],[REAL]]</f>
        <v>0</v>
      </c>
      <c r="K6" s="5">
        <f>TabelaDeTotais914162024283236[[#This Row],[ESTIMADO]]-TabelaDeTotais914162024283236[[#This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TabelaDeRendimentos813151923273135[[#This Row],[REAL]]+(10^-6)*ROW(TabelaDeRendimentos813151923273135[[#This Row],[REAL]])</f>
        <v>6.9999999999999999E-6</v>
      </c>
      <c r="F7" s="5">
        <f>TabelaDeRendimentos813151923273135[[#This Row],[REAL]]-TabelaDeRendimentos813151923273135[[#This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TabelaDeTotais914162024283236[[#Totals],[REAL]]-TabelaDeTotais914162024283236[[#Totals],[ESTIMADO]]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TabelaDeRendimentos813151923273135[[#This Row],[REAL]]+(10^-6)*ROW(TabelaDeRendimentos813151923273135[[#This Row],[REAL]])</f>
        <v>7.9999999999999996E-6</v>
      </c>
      <c r="F8" s="9">
        <f>TabelaDeRendimentos813151923273135[[#This Row],[REAL]]-TabelaDeRendimentos813151923273135[[#This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SUBTOTAL(9,TabelaDeRendimentos813151923273135[ESTIMADO])</f>
        <v>157537</v>
      </c>
      <c r="D9" s="13">
        <f>SUBTOTAL(9,TabelaDeRendimentos813151923273135[REAL])</f>
        <v>0</v>
      </c>
      <c r="E9" s="13">
        <f>SUBTOTAL(9,TabelaDeRendimentos813151923273135[5 Maiores Quantias])</f>
        <v>2.6000000000000002E-5</v>
      </c>
      <c r="F9" s="13">
        <f>SUBTOTAL(9,TabelaDeRendimentos813151923273135[DIFERENÇA])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TabelaDeDespesasDePessoal1116182125293337[[#This Row],[REAL]]+(10^-6)*ROW(TabelaDeDespesasDePessoal1116182125293337[[#This Row],[REAL]])</f>
        <v>1.2E-5</v>
      </c>
      <c r="F12" s="5">
        <f>TabelaDeDespesasDePessoal1116182125293337[[#This Row],[ESTIMADO]]-TabelaDeDespesasDePessoal1116182125293337[[#This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TabelaDeDespesasDePessoal1116182125293337[[#This Row],[REAL]]+(10^-6)*ROW(TabelaDeDespesasDePessoal1116182125293337[[#This Row],[REAL]])</f>
        <v>1.2999999999999999E-5</v>
      </c>
      <c r="F13" s="5">
        <f>TabelaDeDespesasDePessoal1116182125293337[[#This Row],[ESTIMADO]]-TabelaDeDespesasDePessoal1116182125293337[[#This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TabelaDeDespesasDePessoal1116182125293337[[#This Row],[REAL]]+(10^-6)*ROW(TabelaDeDespesasDePessoal1116182125293337[[#This Row],[REAL]])</f>
        <v>1.4E-5</v>
      </c>
      <c r="F14" s="5">
        <f>TabelaDeDespesasDePessoal1116182125293337[[#This Row],[ESTIMADO]]-TabelaDeDespesasDePessoal1116182125293337[[#This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TabelaDeDespesasDePessoal1116182125293337[[#This Row],[REAL]]+(10^-6)*ROW(TabelaDeDespesasDePessoal1116182125293337[[#This Row],[REAL]])</f>
        <v>1.4999999999999999E-5</v>
      </c>
      <c r="F15" s="5">
        <f>TabelaDeDespesasDePessoal1116182125293337[[#This Row],[ESTIMADO]]-TabelaDeDespesasDePessoal1116182125293337[[#This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SUBTOTAL(9,TabelaDeDespesasDePessoal1116182125293337[ESTIMADO])</f>
        <v>28280</v>
      </c>
      <c r="D16" s="12">
        <f>SUBTOTAL(9,TabelaDeDespesasDePessoal1116182125293337[REAL])</f>
        <v>0</v>
      </c>
      <c r="E16" s="12">
        <f>SUBTOTAL(9,TabelaDeDespesasDePessoal1116182125293337[5 Maiores Quantias])</f>
        <v>5.3999999999999998E-5</v>
      </c>
      <c r="F16" s="12">
        <f>SUBTOTAL(9,TabelaDeDespesasDePessoal1116182125293337[DIFERENÇA])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TabelaDeDespesasOperacionais712141722263034[[#This Row],[REAL]]+(10^-6)*ROW(TabelaDeDespesasOperacionais712141722263034[[#This Row],[REAL]])</f>
        <v>1.8999999999999998E-5</v>
      </c>
      <c r="F19" s="8">
        <f>TabelaDeDespesasOperacionais712141722263034[[#This Row],[ESTIMADO]]-TabelaDeDespesasOperacionais712141722263034[[#This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TabelaDeDespesasOperacionais712141722263034[[#This Row],[REAL]]+(10^-6)*ROW(TabelaDeDespesasOperacionais712141722263034[[#This Row],[REAL]])</f>
        <v>1.9999999999999998E-5</v>
      </c>
      <c r="F20" s="8">
        <f>TabelaDeDespesasOperacionais712141722263034[[#This Row],[ESTIMADO]]-TabelaDeDespesasOperacionais712141722263034[[#This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TabelaDeDespesasOperacionais712141722263034[[#This Row],[REAL]]+(10^-6)*ROW(TabelaDeDespesasOperacionais712141722263034[[#This Row],[REAL]])</f>
        <v>2.0999999999999999E-5</v>
      </c>
      <c r="F21" s="8">
        <f>TabelaDeDespesasOperacionais712141722263034[[#This Row],[ESTIMADO]]-TabelaDeDespesasOperacionais712141722263034[[#This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TabelaDeDespesasOperacionais712141722263034[[#This Row],[REAL]]+(10^-6)*ROW(TabelaDeDespesasOperacionais712141722263034[[#This Row],[REAL]])</f>
        <v>2.1999999999999999E-5</v>
      </c>
      <c r="F22" s="8">
        <f>TabelaDeDespesasOperacionais712141722263034[[#This Row],[ESTIMADO]]-TabelaDeDespesasOperacionais712141722263034[[#This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TabelaDeDespesasOperacionais712141722263034[[#This Row],[REAL]]+(10^-6)*ROW(TabelaDeDespesasOperacionais712141722263034[[#This Row],[REAL]])</f>
        <v>2.3E-5</v>
      </c>
      <c r="F23" s="8">
        <f>TabelaDeDespesasOperacionais712141722263034[[#This Row],[ESTIMADO]]-TabelaDeDespesasOperacionais712141722263034[[#This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TabelaDeDespesasOperacionais712141722263034[[#This Row],[REAL]]+(10^-6)*ROW(TabelaDeDespesasOperacionais712141722263034[[#This Row],[REAL]])</f>
        <v>2.4000000000000001E-5</v>
      </c>
      <c r="F24" s="8">
        <f>TabelaDeDespesasOperacionais712141722263034[[#This Row],[ESTIMADO]]-TabelaDeDespesasOperacionais712141722263034[[#This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TabelaDeDespesasOperacionais712141722263034[[#This Row],[REAL]]+(10^-6)*ROW(TabelaDeDespesasOperacionais712141722263034[[#This Row],[REAL]])</f>
        <v>2.4999999999999998E-5</v>
      </c>
      <c r="F25" s="8">
        <f>TabelaDeDespesasOperacionais712141722263034[[#This Row],[ESTIMADO]]-TabelaDeDespesasOperacionais712141722263034[[#This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TabelaDeDespesasOperacionais712141722263034[[#This Row],[REAL]]+(10^-6)*ROW(TabelaDeDespesasOperacionais712141722263034[[#This Row],[REAL]])</f>
        <v>2.5999999999999998E-5</v>
      </c>
      <c r="F26" s="8">
        <f>TabelaDeDespesasOperacionais712141722263034[[#This Row],[ESTIMADO]]-TabelaDeDespesasOperacionais712141722263034[[#This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TabelaDeDespesasOperacionais712141722263034[[#This Row],[REAL]]+(10^-6)*ROW(TabelaDeDespesasOperacionais712141722263034[[#This Row],[REAL]])</f>
        <v>2.6999999999999999E-5</v>
      </c>
      <c r="F27" s="8">
        <f>TabelaDeDespesasOperacionais712141722263034[[#This Row],[ESTIMADO]]-TabelaDeDespesasOperacionais712141722263034[[#This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TabelaDeDespesasOperacionais712141722263034[[#This Row],[REAL]]+(10^-6)*ROW(TabelaDeDespesasOperacionais712141722263034[[#This Row],[REAL]])</f>
        <v>2.8E-5</v>
      </c>
      <c r="F28" s="8">
        <f>TabelaDeDespesasOperacionais712141722263034[[#This Row],[ESTIMADO]]-TabelaDeDespesasOperacionais712141722263034[[#This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TabelaDeDespesasOperacionais712141722263034[[#This Row],[REAL]]+(10^-6)*ROW(TabelaDeDespesasOperacionais712141722263034[[#This Row],[REAL]])</f>
        <v>2.9E-5</v>
      </c>
      <c r="F29" s="8">
        <f>TabelaDeDespesasOperacionais712141722263034[[#This Row],[ESTIMADO]]-TabelaDeDespesasOperacionais712141722263034[[#This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TabelaDeDespesasOperacionais712141722263034[[#This Row],[REAL]]+(10^-6)*ROW(TabelaDeDespesasOperacionais712141722263034[[#This Row],[REAL]])</f>
        <v>2.9999999999999997E-5</v>
      </c>
      <c r="F30" s="8">
        <f>TabelaDeDespesasOperacionais712141722263034[[#This Row],[ESTIMADO]]-TabelaDeDespesasOperacionais712141722263034[[#This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SUBTOTAL(9,TabelaDeDespesasOperacionais712141722263034[ESTIMADO])</f>
        <v>17580</v>
      </c>
      <c r="D31" s="12">
        <f>SUBTOTAL(9,TabelaDeDespesasOperacionais712141722263034[REAL])</f>
        <v>0</v>
      </c>
      <c r="E31" s="12">
        <f>SUBTOTAL(9,TabelaDeDespesasOperacionais712141722263034[5 Maiores Quantias])</f>
        <v>2.9399999999999999E-4</v>
      </c>
      <c r="F31" s="12">
        <f>SUBTOTAL(9,TabelaDeDespesasOperacionais712141722263034[DIFERENÇA])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41821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TabelaDeRendimentos81315192327313539[[#This Row],[REAL]]+(10^-6)*ROW(TabelaDeRendimentos81315192327313539[[#This Row],[REAL]])</f>
        <v>4.9999999999999996E-6</v>
      </c>
      <c r="F5" s="5">
        <f>TabelaDeRendimentos81315192327313539[[#This Row],[REAL]]-TabelaDeRendimentos81315192327313539[[#This Row],[ESTIMADO]]</f>
        <v>-34900</v>
      </c>
      <c r="G5" s="3"/>
      <c r="H5" s="4" t="s">
        <v>6</v>
      </c>
      <c r="I5" s="5">
        <f>TabelaDeRendimentos81315192327313539[[#Totals],[ESTIMADO]]</f>
        <v>157537</v>
      </c>
      <c r="J5" s="5">
        <f>TabelaDeRendimentos81315192327313539[[#Totals],[REAL]]</f>
        <v>0</v>
      </c>
      <c r="K5" s="5">
        <f>TabelaDeTotais91416202428323640[[#This Row],[REAL]]-TabelaDeTotais91416202428323640[[#This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TabelaDeRendimentos81315192327313539[[#This Row],[REAL]]+(10^-6)*ROW(TabelaDeRendimentos81315192327313539[[#This Row],[REAL]])</f>
        <v>6.0000000000000002E-6</v>
      </c>
      <c r="F6" s="5">
        <f>TabelaDeRendimentos81315192327313539[[#This Row],[REAL]]-TabelaDeRendimentos81315192327313539[[#This Row],[ESTIMADO]]</f>
        <v>-55920.000000000007</v>
      </c>
      <c r="G6" s="3"/>
      <c r="H6" s="4" t="s">
        <v>7</v>
      </c>
      <c r="I6" s="5">
        <f>TabelaDeDespesasOperacionais71214172226303438[[#Totals],[ESTIMADO]]+TabelaDeDespesasDePessoal111618212529333741[[#Totals],[ESTIMADO]]</f>
        <v>45860</v>
      </c>
      <c r="J6" s="5">
        <f>TabelaDeDespesasOperacionais71214172226303438[[#Totals],[REAL]]+TabelaDeDespesasDePessoal111618212529333741[[#Totals],[REAL]]</f>
        <v>0</v>
      </c>
      <c r="K6" s="5">
        <f>TabelaDeTotais91416202428323640[[#This Row],[ESTIMADO]]-TabelaDeTotais91416202428323640[[#This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TabelaDeRendimentos81315192327313539[[#This Row],[REAL]]+(10^-6)*ROW(TabelaDeRendimentos81315192327313539[[#This Row],[REAL]])</f>
        <v>6.9999999999999999E-6</v>
      </c>
      <c r="F7" s="5">
        <f>TabelaDeRendimentos81315192327313539[[#This Row],[REAL]]-TabelaDeRendimentos81315192327313539[[#This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TabelaDeTotais91416202428323640[[#Totals],[REAL]]-TabelaDeTotais91416202428323640[[#Totals],[ESTIMADO]]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TabelaDeRendimentos81315192327313539[[#This Row],[REAL]]+(10^-6)*ROW(TabelaDeRendimentos81315192327313539[[#This Row],[REAL]])</f>
        <v>7.9999999999999996E-6</v>
      </c>
      <c r="F8" s="9">
        <f>TabelaDeRendimentos81315192327313539[[#This Row],[REAL]]-TabelaDeRendimentos81315192327313539[[#This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SUBTOTAL(9,TabelaDeRendimentos81315192327313539[ESTIMADO])</f>
        <v>157537</v>
      </c>
      <c r="D9" s="13">
        <f>SUBTOTAL(9,TabelaDeRendimentos81315192327313539[REAL])</f>
        <v>0</v>
      </c>
      <c r="E9" s="13">
        <f>SUBTOTAL(9,TabelaDeRendimentos81315192327313539[5 Maiores Quantias])</f>
        <v>2.6000000000000002E-5</v>
      </c>
      <c r="F9" s="13">
        <f>SUBTOTAL(9,TabelaDeRendimentos81315192327313539[DIFERENÇA])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TabelaDeDespesasDePessoal111618212529333741[[#This Row],[REAL]]+(10^-6)*ROW(TabelaDeDespesasDePessoal111618212529333741[[#This Row],[REAL]])</f>
        <v>1.2E-5</v>
      </c>
      <c r="F12" s="5">
        <f>TabelaDeDespesasDePessoal111618212529333741[[#This Row],[ESTIMADO]]-TabelaDeDespesasDePessoal111618212529333741[[#This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TabelaDeDespesasDePessoal111618212529333741[[#This Row],[REAL]]+(10^-6)*ROW(TabelaDeDespesasDePessoal111618212529333741[[#This Row],[REAL]])</f>
        <v>1.2999999999999999E-5</v>
      </c>
      <c r="F13" s="5">
        <f>TabelaDeDespesasDePessoal111618212529333741[[#This Row],[ESTIMADO]]-TabelaDeDespesasDePessoal111618212529333741[[#This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TabelaDeDespesasDePessoal111618212529333741[[#This Row],[REAL]]+(10^-6)*ROW(TabelaDeDespesasDePessoal111618212529333741[[#This Row],[REAL]])</f>
        <v>1.4E-5</v>
      </c>
      <c r="F14" s="5">
        <f>TabelaDeDespesasDePessoal111618212529333741[[#This Row],[ESTIMADO]]-TabelaDeDespesasDePessoal111618212529333741[[#This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TabelaDeDespesasDePessoal111618212529333741[[#This Row],[REAL]]+(10^-6)*ROW(TabelaDeDespesasDePessoal111618212529333741[[#This Row],[REAL]])</f>
        <v>1.4999999999999999E-5</v>
      </c>
      <c r="F15" s="5">
        <f>TabelaDeDespesasDePessoal111618212529333741[[#This Row],[ESTIMADO]]-TabelaDeDespesasDePessoal111618212529333741[[#This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SUBTOTAL(9,TabelaDeDespesasDePessoal111618212529333741[ESTIMADO])</f>
        <v>28280</v>
      </c>
      <c r="D16" s="12">
        <f>SUBTOTAL(9,TabelaDeDespesasDePessoal111618212529333741[REAL])</f>
        <v>0</v>
      </c>
      <c r="E16" s="12">
        <f>SUBTOTAL(9,TabelaDeDespesasDePessoal111618212529333741[5 Maiores Quantias])</f>
        <v>5.3999999999999998E-5</v>
      </c>
      <c r="F16" s="12">
        <f>SUBTOTAL(9,TabelaDeDespesasDePessoal111618212529333741[DIFERENÇA])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TabelaDeDespesasOperacionais71214172226303438[[#This Row],[REAL]]+(10^-6)*ROW(TabelaDeDespesasOperacionais71214172226303438[[#This Row],[REAL]])</f>
        <v>1.8999999999999998E-5</v>
      </c>
      <c r="F19" s="8">
        <f>TabelaDeDespesasOperacionais71214172226303438[[#This Row],[ESTIMADO]]-TabelaDeDespesasOperacionais71214172226303438[[#This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TabelaDeDespesasOperacionais71214172226303438[[#This Row],[REAL]]+(10^-6)*ROW(TabelaDeDespesasOperacionais71214172226303438[[#This Row],[REAL]])</f>
        <v>1.9999999999999998E-5</v>
      </c>
      <c r="F20" s="8">
        <f>TabelaDeDespesasOperacionais71214172226303438[[#This Row],[ESTIMADO]]-TabelaDeDespesasOperacionais71214172226303438[[#This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TabelaDeDespesasOperacionais71214172226303438[[#This Row],[REAL]]+(10^-6)*ROW(TabelaDeDespesasOperacionais71214172226303438[[#This Row],[REAL]])</f>
        <v>2.0999999999999999E-5</v>
      </c>
      <c r="F21" s="8">
        <f>TabelaDeDespesasOperacionais71214172226303438[[#This Row],[ESTIMADO]]-TabelaDeDespesasOperacionais71214172226303438[[#This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TabelaDeDespesasOperacionais71214172226303438[[#This Row],[REAL]]+(10^-6)*ROW(TabelaDeDespesasOperacionais71214172226303438[[#This Row],[REAL]])</f>
        <v>2.1999999999999999E-5</v>
      </c>
      <c r="F22" s="8">
        <f>TabelaDeDespesasOperacionais71214172226303438[[#This Row],[ESTIMADO]]-TabelaDeDespesasOperacionais71214172226303438[[#This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TabelaDeDespesasOperacionais71214172226303438[[#This Row],[REAL]]+(10^-6)*ROW(TabelaDeDespesasOperacionais71214172226303438[[#This Row],[REAL]])</f>
        <v>2.3E-5</v>
      </c>
      <c r="F23" s="8">
        <f>TabelaDeDespesasOperacionais71214172226303438[[#This Row],[ESTIMADO]]-TabelaDeDespesasOperacionais71214172226303438[[#This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TabelaDeDespesasOperacionais71214172226303438[[#This Row],[REAL]]+(10^-6)*ROW(TabelaDeDespesasOperacionais71214172226303438[[#This Row],[REAL]])</f>
        <v>2.4000000000000001E-5</v>
      </c>
      <c r="F24" s="8">
        <f>TabelaDeDespesasOperacionais71214172226303438[[#This Row],[ESTIMADO]]-TabelaDeDespesasOperacionais71214172226303438[[#This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TabelaDeDespesasOperacionais71214172226303438[[#This Row],[REAL]]+(10^-6)*ROW(TabelaDeDespesasOperacionais71214172226303438[[#This Row],[REAL]])</f>
        <v>2.4999999999999998E-5</v>
      </c>
      <c r="F25" s="8">
        <f>TabelaDeDespesasOperacionais71214172226303438[[#This Row],[ESTIMADO]]-TabelaDeDespesasOperacionais71214172226303438[[#This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TabelaDeDespesasOperacionais71214172226303438[[#This Row],[REAL]]+(10^-6)*ROW(TabelaDeDespesasOperacionais71214172226303438[[#This Row],[REAL]])</f>
        <v>2.5999999999999998E-5</v>
      </c>
      <c r="F26" s="8">
        <f>TabelaDeDespesasOperacionais71214172226303438[[#This Row],[ESTIMADO]]-TabelaDeDespesasOperacionais71214172226303438[[#This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TabelaDeDespesasOperacionais71214172226303438[[#This Row],[REAL]]+(10^-6)*ROW(TabelaDeDespesasOperacionais71214172226303438[[#This Row],[REAL]])</f>
        <v>2.6999999999999999E-5</v>
      </c>
      <c r="F27" s="8">
        <f>TabelaDeDespesasOperacionais71214172226303438[[#This Row],[ESTIMADO]]-TabelaDeDespesasOperacionais71214172226303438[[#This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TabelaDeDespesasOperacionais71214172226303438[[#This Row],[REAL]]+(10^-6)*ROW(TabelaDeDespesasOperacionais71214172226303438[[#This Row],[REAL]])</f>
        <v>2.8E-5</v>
      </c>
      <c r="F28" s="8">
        <f>TabelaDeDespesasOperacionais71214172226303438[[#This Row],[ESTIMADO]]-TabelaDeDespesasOperacionais71214172226303438[[#This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TabelaDeDespesasOperacionais71214172226303438[[#This Row],[REAL]]+(10^-6)*ROW(TabelaDeDespesasOperacionais71214172226303438[[#This Row],[REAL]])</f>
        <v>2.9E-5</v>
      </c>
      <c r="F29" s="8">
        <f>TabelaDeDespesasOperacionais71214172226303438[[#This Row],[ESTIMADO]]-TabelaDeDespesasOperacionais71214172226303438[[#This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TabelaDeDespesasOperacionais71214172226303438[[#This Row],[REAL]]+(10^-6)*ROW(TabelaDeDespesasOperacionais71214172226303438[[#This Row],[REAL]])</f>
        <v>2.9999999999999997E-5</v>
      </c>
      <c r="F30" s="8">
        <f>TabelaDeDespesasOperacionais71214172226303438[[#This Row],[ESTIMADO]]-TabelaDeDespesasOperacionais71214172226303438[[#This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SUBTOTAL(9,TabelaDeDespesasOperacionais71214172226303438[ESTIMADO])</f>
        <v>17580</v>
      </c>
      <c r="D31" s="12">
        <f>SUBTOTAL(9,TabelaDeDespesasOperacionais71214172226303438[REAL])</f>
        <v>0</v>
      </c>
      <c r="E31" s="12">
        <f>SUBTOTAL(9,TabelaDeDespesasOperacionais71214172226303438[5 Maiores Quantias])</f>
        <v>2.9399999999999999E-4</v>
      </c>
      <c r="F31" s="12">
        <f>SUBTOTAL(9,TabelaDeDespesasOperacionais71214172226303438[DIFERENÇA])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6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41852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TabelaDeRendimentos8131519232731353943[[#This Row],[REAL]]+(10^-6)*ROW(TabelaDeRendimentos8131519232731353943[[#This Row],[REAL]])</f>
        <v>4.9999999999999996E-6</v>
      </c>
      <c r="F5" s="5">
        <f>TabelaDeRendimentos8131519232731353943[[#This Row],[REAL]]-TabelaDeRendimentos8131519232731353943[[#This Row],[ESTIMADO]]</f>
        <v>-34900</v>
      </c>
      <c r="G5" s="3"/>
      <c r="H5" s="4" t="s">
        <v>6</v>
      </c>
      <c r="I5" s="5">
        <f>TabelaDeRendimentos8131519232731353943[[#Totals],[ESTIMADO]]</f>
        <v>157537</v>
      </c>
      <c r="J5" s="5">
        <f>TabelaDeRendimentos8131519232731353943[[#Totals],[REAL]]</f>
        <v>0</v>
      </c>
      <c r="K5" s="5">
        <f>TabelaDeTotais9141620242832364044[[#This Row],[REAL]]-TabelaDeTotais9141620242832364044[[#This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TabelaDeRendimentos8131519232731353943[[#This Row],[REAL]]+(10^-6)*ROW(TabelaDeRendimentos8131519232731353943[[#This Row],[REAL]])</f>
        <v>6.0000000000000002E-6</v>
      </c>
      <c r="F6" s="5">
        <f>TabelaDeRendimentos8131519232731353943[[#This Row],[REAL]]-TabelaDeRendimentos8131519232731353943[[#This Row],[ESTIMADO]]</f>
        <v>-55920.000000000007</v>
      </c>
      <c r="G6" s="3"/>
      <c r="H6" s="4" t="s">
        <v>7</v>
      </c>
      <c r="I6" s="5">
        <f>TabelaDeDespesasOperacionais7121417222630343842[[#Totals],[ESTIMADO]]+TabelaDeDespesasDePessoal11161821252933374145[[#Totals],[ESTIMADO]]</f>
        <v>45860</v>
      </c>
      <c r="J6" s="5">
        <f>TabelaDeDespesasOperacionais7121417222630343842[[#Totals],[REAL]]+TabelaDeDespesasDePessoal11161821252933374145[[#Totals],[REAL]]</f>
        <v>0</v>
      </c>
      <c r="K6" s="5">
        <f>TabelaDeTotais9141620242832364044[[#This Row],[ESTIMADO]]-TabelaDeTotais9141620242832364044[[#This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TabelaDeRendimentos8131519232731353943[[#This Row],[REAL]]+(10^-6)*ROW(TabelaDeRendimentos8131519232731353943[[#This Row],[REAL]])</f>
        <v>6.9999999999999999E-6</v>
      </c>
      <c r="F7" s="5">
        <f>TabelaDeRendimentos8131519232731353943[[#This Row],[REAL]]-TabelaDeRendimentos8131519232731353943[[#This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TabelaDeTotais9141620242832364044[[#Totals],[REAL]]-TabelaDeTotais9141620242832364044[[#Totals],[ESTIMADO]]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TabelaDeRendimentos8131519232731353943[[#This Row],[REAL]]+(10^-6)*ROW(TabelaDeRendimentos8131519232731353943[[#This Row],[REAL]])</f>
        <v>7.9999999999999996E-6</v>
      </c>
      <c r="F8" s="9">
        <f>TabelaDeRendimentos8131519232731353943[[#This Row],[REAL]]-TabelaDeRendimentos8131519232731353943[[#This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SUBTOTAL(9,TabelaDeRendimentos8131519232731353943[ESTIMADO])</f>
        <v>157537</v>
      </c>
      <c r="D9" s="13">
        <f>SUBTOTAL(9,TabelaDeRendimentos8131519232731353943[REAL])</f>
        <v>0</v>
      </c>
      <c r="E9" s="13">
        <f>SUBTOTAL(9,TabelaDeRendimentos8131519232731353943[5 Maiores Quantias])</f>
        <v>2.6000000000000002E-5</v>
      </c>
      <c r="F9" s="13">
        <f>SUBTOTAL(9,TabelaDeRendimentos8131519232731353943[DIFERENÇA])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TabelaDeDespesasDePessoal11161821252933374145[[#This Row],[REAL]]+(10^-6)*ROW(TabelaDeDespesasDePessoal11161821252933374145[[#This Row],[REAL]])</f>
        <v>1.2E-5</v>
      </c>
      <c r="F12" s="5">
        <f>TabelaDeDespesasDePessoal11161821252933374145[[#This Row],[ESTIMADO]]-TabelaDeDespesasDePessoal11161821252933374145[[#This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TabelaDeDespesasDePessoal11161821252933374145[[#This Row],[REAL]]+(10^-6)*ROW(TabelaDeDespesasDePessoal11161821252933374145[[#This Row],[REAL]])</f>
        <v>1.2999999999999999E-5</v>
      </c>
      <c r="F13" s="5">
        <f>TabelaDeDespesasDePessoal11161821252933374145[[#This Row],[ESTIMADO]]-TabelaDeDespesasDePessoal11161821252933374145[[#This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TabelaDeDespesasDePessoal11161821252933374145[[#This Row],[REAL]]+(10^-6)*ROW(TabelaDeDespesasDePessoal11161821252933374145[[#This Row],[REAL]])</f>
        <v>1.4E-5</v>
      </c>
      <c r="F14" s="5">
        <f>TabelaDeDespesasDePessoal11161821252933374145[[#This Row],[ESTIMADO]]-TabelaDeDespesasDePessoal11161821252933374145[[#This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TabelaDeDespesasDePessoal11161821252933374145[[#This Row],[REAL]]+(10^-6)*ROW(TabelaDeDespesasDePessoal11161821252933374145[[#This Row],[REAL]])</f>
        <v>1.4999999999999999E-5</v>
      </c>
      <c r="F15" s="5">
        <f>TabelaDeDespesasDePessoal11161821252933374145[[#This Row],[ESTIMADO]]-TabelaDeDespesasDePessoal11161821252933374145[[#This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SUBTOTAL(9,TabelaDeDespesasDePessoal11161821252933374145[ESTIMADO])</f>
        <v>28280</v>
      </c>
      <c r="D16" s="12">
        <f>SUBTOTAL(9,TabelaDeDespesasDePessoal11161821252933374145[REAL])</f>
        <v>0</v>
      </c>
      <c r="E16" s="12">
        <f>SUBTOTAL(9,TabelaDeDespesasDePessoal11161821252933374145[5 Maiores Quantias])</f>
        <v>5.3999999999999998E-5</v>
      </c>
      <c r="F16" s="12">
        <f>SUBTOTAL(9,TabelaDeDespesasDePessoal11161821252933374145[DIFERENÇA])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TabelaDeDespesasOperacionais7121417222630343842[[#This Row],[REAL]]+(10^-6)*ROW(TabelaDeDespesasOperacionais7121417222630343842[[#This Row],[REAL]])</f>
        <v>1.8999999999999998E-5</v>
      </c>
      <c r="F19" s="8">
        <f>TabelaDeDespesasOperacionais7121417222630343842[[#This Row],[ESTIMADO]]-TabelaDeDespesasOperacionais7121417222630343842[[#This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TabelaDeDespesasOperacionais7121417222630343842[[#This Row],[REAL]]+(10^-6)*ROW(TabelaDeDespesasOperacionais7121417222630343842[[#This Row],[REAL]])</f>
        <v>1.9999999999999998E-5</v>
      </c>
      <c r="F20" s="8">
        <f>TabelaDeDespesasOperacionais7121417222630343842[[#This Row],[ESTIMADO]]-TabelaDeDespesasOperacionais7121417222630343842[[#This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TabelaDeDespesasOperacionais7121417222630343842[[#This Row],[REAL]]+(10^-6)*ROW(TabelaDeDespesasOperacionais7121417222630343842[[#This Row],[REAL]])</f>
        <v>2.0999999999999999E-5</v>
      </c>
      <c r="F21" s="8">
        <f>TabelaDeDespesasOperacionais7121417222630343842[[#This Row],[ESTIMADO]]-TabelaDeDespesasOperacionais7121417222630343842[[#This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TabelaDeDespesasOperacionais7121417222630343842[[#This Row],[REAL]]+(10^-6)*ROW(TabelaDeDespesasOperacionais7121417222630343842[[#This Row],[REAL]])</f>
        <v>2.1999999999999999E-5</v>
      </c>
      <c r="F22" s="8">
        <f>TabelaDeDespesasOperacionais7121417222630343842[[#This Row],[ESTIMADO]]-TabelaDeDespesasOperacionais7121417222630343842[[#This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/>
      <c r="E23" s="8">
        <f>TabelaDeDespesasOperacionais7121417222630343842[[#This Row],[REAL]]+(10^-6)*ROW(TabelaDeDespesasOperacionais7121417222630343842[[#This Row],[REAL]])</f>
        <v>2.3E-5</v>
      </c>
      <c r="F23" s="8">
        <f>TabelaDeDespesasOperacionais7121417222630343842[[#This Row],[ESTIMADO]]-TabelaDeDespesasOperacionais7121417222630343842[[#This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/>
      <c r="E24" s="8">
        <f>TabelaDeDespesasOperacionais7121417222630343842[[#This Row],[REAL]]+(10^-6)*ROW(TabelaDeDespesasOperacionais7121417222630343842[[#This Row],[REAL]])</f>
        <v>2.4000000000000001E-5</v>
      </c>
      <c r="F24" s="8">
        <f>TabelaDeDespesasOperacionais7121417222630343842[[#This Row],[ESTIMADO]]-TabelaDeDespesasOperacionais7121417222630343842[[#This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/>
      <c r="E25" s="8">
        <f>TabelaDeDespesasOperacionais7121417222630343842[[#This Row],[REAL]]+(10^-6)*ROW(TabelaDeDespesasOperacionais7121417222630343842[[#This Row],[REAL]])</f>
        <v>2.4999999999999998E-5</v>
      </c>
      <c r="F25" s="8">
        <f>TabelaDeDespesasOperacionais7121417222630343842[[#This Row],[ESTIMADO]]-TabelaDeDespesasOperacionais7121417222630343842[[#This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/>
      <c r="E26" s="8">
        <f>TabelaDeDespesasOperacionais7121417222630343842[[#This Row],[REAL]]+(10^-6)*ROW(TabelaDeDespesasOperacionais7121417222630343842[[#This Row],[REAL]])</f>
        <v>2.5999999999999998E-5</v>
      </c>
      <c r="F26" s="8">
        <f>TabelaDeDespesasOperacionais7121417222630343842[[#This Row],[ESTIMADO]]-TabelaDeDespesasOperacionais7121417222630343842[[#This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/>
      <c r="E27" s="8">
        <f>TabelaDeDespesasOperacionais7121417222630343842[[#This Row],[REAL]]+(10^-6)*ROW(TabelaDeDespesasOperacionais7121417222630343842[[#This Row],[REAL]])</f>
        <v>2.6999999999999999E-5</v>
      </c>
      <c r="F27" s="8">
        <f>TabelaDeDespesasOperacionais7121417222630343842[[#This Row],[ESTIMADO]]-TabelaDeDespesasOperacionais7121417222630343842[[#This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/>
      <c r="E28" s="8">
        <f>TabelaDeDespesasOperacionais7121417222630343842[[#This Row],[REAL]]+(10^-6)*ROW(TabelaDeDespesasOperacionais7121417222630343842[[#This Row],[REAL]])</f>
        <v>2.8E-5</v>
      </c>
      <c r="F28" s="8">
        <f>TabelaDeDespesasOperacionais7121417222630343842[[#This Row],[ESTIMADO]]-TabelaDeDespesasOperacionais7121417222630343842[[#This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/>
      <c r="E29" s="8">
        <f>TabelaDeDespesasOperacionais7121417222630343842[[#This Row],[REAL]]+(10^-6)*ROW(TabelaDeDespesasOperacionais7121417222630343842[[#This Row],[REAL]])</f>
        <v>2.9E-5</v>
      </c>
      <c r="F29" s="8">
        <f>TabelaDeDespesasOperacionais7121417222630343842[[#This Row],[ESTIMADO]]-TabelaDeDespesasOperacionais7121417222630343842[[#This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/>
      <c r="E30" s="8">
        <f>TabelaDeDespesasOperacionais7121417222630343842[[#This Row],[REAL]]+(10^-6)*ROW(TabelaDeDespesasOperacionais7121417222630343842[[#This Row],[REAL]])</f>
        <v>2.9999999999999997E-5</v>
      </c>
      <c r="F30" s="8">
        <f>TabelaDeDespesasOperacionais7121417222630343842[[#This Row],[ESTIMADO]]-TabelaDeDespesasOperacionais7121417222630343842[[#This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SUBTOTAL(9,TabelaDeDespesasOperacionais7121417222630343842[ESTIMADO])</f>
        <v>17580</v>
      </c>
      <c r="D31" s="12">
        <f>SUBTOTAL(9,TabelaDeDespesasOperacionais7121417222630343842[REAL])</f>
        <v>0</v>
      </c>
      <c r="E31" s="12">
        <f>SUBTOTAL(9,TabelaDeDespesasOperacionais7121417222630343842[5 Maiores Quantias])</f>
        <v>2.9399999999999999E-4</v>
      </c>
      <c r="F31" s="12">
        <f>SUBTOTAL(9,TabelaDeDespesasOperacionais7121417222630343842[DIFERENÇA])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7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41883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TabelaDeRendimentos813151923273135394347[[#This Row],[REAL]]+(10^-6)*ROW(TabelaDeRendimentos813151923273135394347[[#This Row],[REAL]])</f>
        <v>4.9999999999999996E-6</v>
      </c>
      <c r="F5" s="5">
        <f>TabelaDeRendimentos813151923273135394347[[#This Row],[REAL]]-TabelaDeRendimentos813151923273135394347[[#This Row],[ESTIMADO]]</f>
        <v>-34900</v>
      </c>
      <c r="G5" s="3"/>
      <c r="H5" s="4" t="s">
        <v>6</v>
      </c>
      <c r="I5" s="5">
        <f>TabelaDeRendimentos813151923273135394347[[#Totals],[ESTIMADO]]</f>
        <v>157537</v>
      </c>
      <c r="J5" s="5">
        <f>TabelaDeRendimentos813151923273135394347[[#Totals],[REAL]]</f>
        <v>0</v>
      </c>
      <c r="K5" s="5">
        <f>TabelaDeTotais914162024283236404448[[#This Row],[REAL]]-TabelaDeTotais914162024283236404448[[#This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TabelaDeRendimentos813151923273135394347[[#This Row],[REAL]]+(10^-6)*ROW(TabelaDeRendimentos813151923273135394347[[#This Row],[REAL]])</f>
        <v>6.0000000000000002E-6</v>
      </c>
      <c r="F6" s="5">
        <f>TabelaDeRendimentos813151923273135394347[[#This Row],[REAL]]-TabelaDeRendimentos813151923273135394347[[#This Row],[ESTIMADO]]</f>
        <v>-55920.000000000007</v>
      </c>
      <c r="G6" s="3"/>
      <c r="H6" s="4" t="s">
        <v>7</v>
      </c>
      <c r="I6" s="5">
        <f>TabelaDeDespesasOperacionais712141722263034384246[[#Totals],[ESTIMADO]]+TabelaDeDespesasDePessoal1116182125293337414549[[#Totals],[ESTIMADO]]</f>
        <v>45860</v>
      </c>
      <c r="J6" s="5">
        <f>TabelaDeDespesasOperacionais712141722263034384246[[#Totals],[REAL]]+TabelaDeDespesasDePessoal1116182125293337414549[[#Totals],[REAL]]</f>
        <v>0</v>
      </c>
      <c r="K6" s="5">
        <f>TabelaDeTotais914162024283236404448[[#This Row],[ESTIMADO]]-TabelaDeTotais914162024283236404448[[#This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TabelaDeRendimentos813151923273135394347[[#This Row],[REAL]]+(10^-6)*ROW(TabelaDeRendimentos813151923273135394347[[#This Row],[REAL]])</f>
        <v>6.9999999999999999E-6</v>
      </c>
      <c r="F7" s="5">
        <f>TabelaDeRendimentos813151923273135394347[[#This Row],[REAL]]-TabelaDeRendimentos813151923273135394347[[#This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TabelaDeTotais914162024283236404448[[#Totals],[REAL]]-TabelaDeTotais914162024283236404448[[#Totals],[ESTIMADO]]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TabelaDeRendimentos813151923273135394347[[#This Row],[REAL]]+(10^-6)*ROW(TabelaDeRendimentos813151923273135394347[[#This Row],[REAL]])</f>
        <v>7.9999999999999996E-6</v>
      </c>
      <c r="F8" s="9">
        <f>TabelaDeRendimentos813151923273135394347[[#This Row],[REAL]]-TabelaDeRendimentos813151923273135394347[[#This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SUBTOTAL(9,TabelaDeRendimentos813151923273135394347[ESTIMADO])</f>
        <v>157537</v>
      </c>
      <c r="D9" s="13">
        <f>SUBTOTAL(9,TabelaDeRendimentos813151923273135394347[REAL])</f>
        <v>0</v>
      </c>
      <c r="E9" s="13">
        <f>SUBTOTAL(9,TabelaDeRendimentos813151923273135394347[5 Maiores Quantias])</f>
        <v>2.6000000000000002E-5</v>
      </c>
      <c r="F9" s="13">
        <f>SUBTOTAL(9,TabelaDeRendimentos813151923273135394347[DIFERENÇA])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TabelaDeDespesasDePessoal1116182125293337414549[[#This Row],[REAL]]+(10^-6)*ROW(TabelaDeDespesasDePessoal1116182125293337414549[[#This Row],[REAL]])</f>
        <v>1.2E-5</v>
      </c>
      <c r="F12" s="5">
        <f>TabelaDeDespesasDePessoal1116182125293337414549[[#This Row],[ESTIMADO]]-TabelaDeDespesasDePessoal1116182125293337414549[[#This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TabelaDeDespesasDePessoal1116182125293337414549[[#This Row],[REAL]]+(10^-6)*ROW(TabelaDeDespesasDePessoal1116182125293337414549[[#This Row],[REAL]])</f>
        <v>1.2999999999999999E-5</v>
      </c>
      <c r="F13" s="5">
        <f>TabelaDeDespesasDePessoal1116182125293337414549[[#This Row],[ESTIMADO]]-TabelaDeDespesasDePessoal1116182125293337414549[[#This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TabelaDeDespesasDePessoal1116182125293337414549[[#This Row],[REAL]]+(10^-6)*ROW(TabelaDeDespesasDePessoal1116182125293337414549[[#This Row],[REAL]])</f>
        <v>1.4E-5</v>
      </c>
      <c r="F14" s="5">
        <f>TabelaDeDespesasDePessoal1116182125293337414549[[#This Row],[ESTIMADO]]-TabelaDeDespesasDePessoal1116182125293337414549[[#This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TabelaDeDespesasDePessoal1116182125293337414549[[#This Row],[REAL]]+(10^-6)*ROW(TabelaDeDespesasDePessoal1116182125293337414549[[#This Row],[REAL]])</f>
        <v>1.4999999999999999E-5</v>
      </c>
      <c r="F15" s="5">
        <f>TabelaDeDespesasDePessoal1116182125293337414549[[#This Row],[ESTIMADO]]-TabelaDeDespesasDePessoal1116182125293337414549[[#This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SUBTOTAL(9,TabelaDeDespesasDePessoal1116182125293337414549[ESTIMADO])</f>
        <v>28280</v>
      </c>
      <c r="D16" s="12">
        <f>SUBTOTAL(9,TabelaDeDespesasDePessoal1116182125293337414549[REAL])</f>
        <v>0</v>
      </c>
      <c r="E16" s="12">
        <f>SUBTOTAL(9,TabelaDeDespesasDePessoal1116182125293337414549[5 Maiores Quantias])</f>
        <v>5.3999999999999998E-5</v>
      </c>
      <c r="F16" s="12">
        <f>SUBTOTAL(9,TabelaDeDespesasDePessoal1116182125293337414549[DIFERENÇA])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TabelaDeDespesasOperacionais712141722263034384246[[#This Row],[REAL]]+(10^-6)*ROW(TabelaDeDespesasOperacionais712141722263034384246[[#This Row],[REAL]])</f>
        <v>1.8999999999999998E-5</v>
      </c>
      <c r="F19" s="8">
        <f>TabelaDeDespesasOperacionais712141722263034384246[[#This Row],[ESTIMADO]]-TabelaDeDespesasOperacionais712141722263034384246[[#This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TabelaDeDespesasOperacionais712141722263034384246[[#This Row],[REAL]]+(10^-6)*ROW(TabelaDeDespesasOperacionais712141722263034384246[[#This Row],[REAL]])</f>
        <v>1.9999999999999998E-5</v>
      </c>
      <c r="F20" s="8">
        <f>TabelaDeDespesasOperacionais712141722263034384246[[#This Row],[ESTIMADO]]-TabelaDeDespesasOperacionais712141722263034384246[[#This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TabelaDeDespesasOperacionais712141722263034384246[[#This Row],[REAL]]+(10^-6)*ROW(TabelaDeDespesasOperacionais712141722263034384246[[#This Row],[REAL]])</f>
        <v>2.0999999999999999E-5</v>
      </c>
      <c r="F21" s="8">
        <f>TabelaDeDespesasOperacionais712141722263034384246[[#This Row],[ESTIMADO]]-TabelaDeDespesasOperacionais712141722263034384246[[#This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TabelaDeDespesasOperacionais712141722263034384246[[#This Row],[REAL]]+(10^-6)*ROW(TabelaDeDespesasOperacionais712141722263034384246[[#This Row],[REAL]])</f>
        <v>2.1999999999999999E-5</v>
      </c>
      <c r="F22" s="8">
        <f>TabelaDeDespesasOperacionais712141722263034384246[[#This Row],[ESTIMADO]]-TabelaDeDespesasOperacionais712141722263034384246[[#This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TabelaDeDespesasOperacionais712141722263034384246[[#This Row],[REAL]]+(10^-6)*ROW(TabelaDeDespesasOperacionais712141722263034384246[[#This Row],[REAL]])</f>
        <v>2.3E-5</v>
      </c>
      <c r="F23" s="8">
        <f>TabelaDeDespesasOperacionais712141722263034384246[[#This Row],[ESTIMADO]]-TabelaDeDespesasOperacionais712141722263034384246[[#This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TabelaDeDespesasOperacionais712141722263034384246[[#This Row],[REAL]]+(10^-6)*ROW(TabelaDeDespesasOperacionais712141722263034384246[[#This Row],[REAL]])</f>
        <v>2.4000000000000001E-5</v>
      </c>
      <c r="F24" s="8">
        <f>TabelaDeDespesasOperacionais712141722263034384246[[#This Row],[ESTIMADO]]-TabelaDeDespesasOperacionais712141722263034384246[[#This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TabelaDeDespesasOperacionais712141722263034384246[[#This Row],[REAL]]+(10^-6)*ROW(TabelaDeDespesasOperacionais712141722263034384246[[#This Row],[REAL]])</f>
        <v>2.4999999999999998E-5</v>
      </c>
      <c r="F25" s="8">
        <f>TabelaDeDespesasOperacionais712141722263034384246[[#This Row],[ESTIMADO]]-TabelaDeDespesasOperacionais712141722263034384246[[#This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TabelaDeDespesasOperacionais712141722263034384246[[#This Row],[REAL]]+(10^-6)*ROW(TabelaDeDespesasOperacionais712141722263034384246[[#This Row],[REAL]])</f>
        <v>2.5999999999999998E-5</v>
      </c>
      <c r="F26" s="8">
        <f>TabelaDeDespesasOperacionais712141722263034384246[[#This Row],[ESTIMADO]]-TabelaDeDespesasOperacionais712141722263034384246[[#This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TabelaDeDespesasOperacionais712141722263034384246[[#This Row],[REAL]]+(10^-6)*ROW(TabelaDeDespesasOperacionais712141722263034384246[[#This Row],[REAL]])</f>
        <v>2.6999999999999999E-5</v>
      </c>
      <c r="F27" s="8">
        <f>TabelaDeDespesasOperacionais712141722263034384246[[#This Row],[ESTIMADO]]-TabelaDeDespesasOperacionais712141722263034384246[[#This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TabelaDeDespesasOperacionais712141722263034384246[[#This Row],[REAL]]+(10^-6)*ROW(TabelaDeDespesasOperacionais712141722263034384246[[#This Row],[REAL]])</f>
        <v>2.8E-5</v>
      </c>
      <c r="F28" s="8">
        <f>TabelaDeDespesasOperacionais712141722263034384246[[#This Row],[ESTIMADO]]-TabelaDeDespesasOperacionais712141722263034384246[[#This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TabelaDeDespesasOperacionais712141722263034384246[[#This Row],[REAL]]+(10^-6)*ROW(TabelaDeDespesasOperacionais712141722263034384246[[#This Row],[REAL]])</f>
        <v>2.9E-5</v>
      </c>
      <c r="F29" s="8">
        <f>TabelaDeDespesasOperacionais712141722263034384246[[#This Row],[ESTIMADO]]-TabelaDeDespesasOperacionais712141722263034384246[[#This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TabelaDeDespesasOperacionais712141722263034384246[[#This Row],[REAL]]+(10^-6)*ROW(TabelaDeDespesasOperacionais712141722263034384246[[#This Row],[REAL]])</f>
        <v>2.9999999999999997E-5</v>
      </c>
      <c r="F30" s="8">
        <f>TabelaDeDespesasOperacionais712141722263034384246[[#This Row],[ESTIMADO]]-TabelaDeDespesasOperacionais712141722263034384246[[#This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SUBTOTAL(9,TabelaDeDespesasOperacionais712141722263034384246[ESTIMADO])</f>
        <v>17580</v>
      </c>
      <c r="D31" s="12">
        <f>SUBTOTAL(9,TabelaDeDespesasOperacionais712141722263034384246[REAL])</f>
        <v>0</v>
      </c>
      <c r="E31" s="12">
        <f>SUBTOTAL(9,TabelaDeDespesasOperacionais712141722263034384246[5 Maiores Quantias])</f>
        <v>2.9399999999999999E-4</v>
      </c>
      <c r="F31" s="12">
        <f>SUBTOTAL(9,TabelaDeDespesasOperacionais712141722263034384246[DIFERENÇA])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8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41913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TabelaDeRendimentos81315192327313539434751[[#This Row],[REAL]]+(10^-6)*ROW(TabelaDeRendimentos81315192327313539434751[[#This Row],[REAL]])</f>
        <v>4.9999999999999996E-6</v>
      </c>
      <c r="F5" s="5">
        <f>TabelaDeRendimentos81315192327313539434751[[#This Row],[REAL]]-TabelaDeRendimentos81315192327313539434751[[#This Row],[ESTIMADO]]</f>
        <v>-34900</v>
      </c>
      <c r="G5" s="3"/>
      <c r="H5" s="4" t="s">
        <v>6</v>
      </c>
      <c r="I5" s="5">
        <f>TabelaDeRendimentos81315192327313539434751[[#Totals],[ESTIMADO]]</f>
        <v>157537</v>
      </c>
      <c r="J5" s="5">
        <f>TabelaDeRendimentos81315192327313539434751[[#Totals],[REAL]]</f>
        <v>0</v>
      </c>
      <c r="K5" s="5">
        <f>TabelaDeTotais91416202428323640444852[[#This Row],[REAL]]-TabelaDeTotais91416202428323640444852[[#This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TabelaDeRendimentos81315192327313539434751[[#This Row],[REAL]]+(10^-6)*ROW(TabelaDeRendimentos81315192327313539434751[[#This Row],[REAL]])</f>
        <v>6.0000000000000002E-6</v>
      </c>
      <c r="F6" s="5">
        <f>TabelaDeRendimentos81315192327313539434751[[#This Row],[REAL]]-TabelaDeRendimentos81315192327313539434751[[#This Row],[ESTIMADO]]</f>
        <v>-55920.000000000007</v>
      </c>
      <c r="G6" s="3"/>
      <c r="H6" s="4" t="s">
        <v>7</v>
      </c>
      <c r="I6" s="5">
        <f>TabelaDeDespesasOperacionais71214172226303438424650[[#Totals],[ESTIMADO]]+TabelaDeDespesasDePessoal111618212529333741454953[[#Totals],[ESTIMADO]]</f>
        <v>45860</v>
      </c>
      <c r="J6" s="5">
        <f>TabelaDeDespesasOperacionais71214172226303438424650[[#Totals],[REAL]]+TabelaDeDespesasDePessoal111618212529333741454953[[#Totals],[REAL]]</f>
        <v>0</v>
      </c>
      <c r="K6" s="5">
        <f>TabelaDeTotais91416202428323640444852[[#This Row],[ESTIMADO]]-TabelaDeTotais91416202428323640444852[[#This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TabelaDeRendimentos81315192327313539434751[[#This Row],[REAL]]+(10^-6)*ROW(TabelaDeRendimentos81315192327313539434751[[#This Row],[REAL]])</f>
        <v>6.9999999999999999E-6</v>
      </c>
      <c r="F7" s="5">
        <f>TabelaDeRendimentos81315192327313539434751[[#This Row],[REAL]]-TabelaDeRendimentos81315192327313539434751[[#This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TabelaDeTotais91416202428323640444852[[#Totals],[REAL]]-TabelaDeTotais91416202428323640444852[[#Totals],[ESTIMADO]]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TabelaDeRendimentos81315192327313539434751[[#This Row],[REAL]]+(10^-6)*ROW(TabelaDeRendimentos81315192327313539434751[[#This Row],[REAL]])</f>
        <v>7.9999999999999996E-6</v>
      </c>
      <c r="F8" s="9">
        <f>TabelaDeRendimentos81315192327313539434751[[#This Row],[REAL]]-TabelaDeRendimentos81315192327313539434751[[#This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SUBTOTAL(9,TabelaDeRendimentos81315192327313539434751[ESTIMADO])</f>
        <v>157537</v>
      </c>
      <c r="D9" s="13">
        <f>SUBTOTAL(9,TabelaDeRendimentos81315192327313539434751[REAL])</f>
        <v>0</v>
      </c>
      <c r="E9" s="13">
        <f>SUBTOTAL(9,TabelaDeRendimentos81315192327313539434751[5 Maiores Quantias])</f>
        <v>2.6000000000000002E-5</v>
      </c>
      <c r="F9" s="13">
        <f>SUBTOTAL(9,TabelaDeRendimentos81315192327313539434751[DIFERENÇA])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TabelaDeDespesasDePessoal111618212529333741454953[[#This Row],[REAL]]+(10^-6)*ROW(TabelaDeDespesasDePessoal111618212529333741454953[[#This Row],[REAL]])</f>
        <v>1.2E-5</v>
      </c>
      <c r="F12" s="5">
        <f>TabelaDeDespesasDePessoal111618212529333741454953[[#This Row],[ESTIMADO]]-TabelaDeDespesasDePessoal111618212529333741454953[[#This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TabelaDeDespesasDePessoal111618212529333741454953[[#This Row],[REAL]]+(10^-6)*ROW(TabelaDeDespesasDePessoal111618212529333741454953[[#This Row],[REAL]])</f>
        <v>1.2999999999999999E-5</v>
      </c>
      <c r="F13" s="5">
        <f>TabelaDeDespesasDePessoal111618212529333741454953[[#This Row],[ESTIMADO]]-TabelaDeDespesasDePessoal111618212529333741454953[[#This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TabelaDeDespesasDePessoal111618212529333741454953[[#This Row],[REAL]]+(10^-6)*ROW(TabelaDeDespesasDePessoal111618212529333741454953[[#This Row],[REAL]])</f>
        <v>1.4E-5</v>
      </c>
      <c r="F14" s="5">
        <f>TabelaDeDespesasDePessoal111618212529333741454953[[#This Row],[ESTIMADO]]-TabelaDeDespesasDePessoal111618212529333741454953[[#This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TabelaDeDespesasDePessoal111618212529333741454953[[#This Row],[REAL]]+(10^-6)*ROW(TabelaDeDespesasDePessoal111618212529333741454953[[#This Row],[REAL]])</f>
        <v>1.4999999999999999E-5</v>
      </c>
      <c r="F15" s="5">
        <f>TabelaDeDespesasDePessoal111618212529333741454953[[#This Row],[ESTIMADO]]-TabelaDeDespesasDePessoal111618212529333741454953[[#This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SUBTOTAL(9,TabelaDeDespesasDePessoal111618212529333741454953[ESTIMADO])</f>
        <v>28280</v>
      </c>
      <c r="D16" s="12">
        <f>SUBTOTAL(9,TabelaDeDespesasDePessoal111618212529333741454953[REAL])</f>
        <v>0</v>
      </c>
      <c r="E16" s="12">
        <f>SUBTOTAL(9,TabelaDeDespesasDePessoal111618212529333741454953[5 Maiores Quantias])</f>
        <v>5.3999999999999998E-5</v>
      </c>
      <c r="F16" s="12">
        <f>SUBTOTAL(9,TabelaDeDespesasDePessoal111618212529333741454953[DIFERENÇA])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8">
        <v>0</v>
      </c>
      <c r="E19" s="8">
        <f>TabelaDeDespesasOperacionais71214172226303438424650[[#This Row],[REAL]]+(10^-6)*ROW(TabelaDeDespesasOperacionais71214172226303438424650[[#This Row],[REAL]])</f>
        <v>1.8999999999999998E-5</v>
      </c>
      <c r="F19" s="8">
        <f>TabelaDeDespesasOperacionais71214172226303438424650[[#This Row],[ESTIMADO]]-TabelaDeDespesasOperacionais71214172226303438424650[[#This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8">
        <v>0</v>
      </c>
      <c r="E20" s="8">
        <f>TabelaDeDespesasOperacionais71214172226303438424650[[#This Row],[REAL]]+(10^-6)*ROW(TabelaDeDespesasOperacionais71214172226303438424650[[#This Row],[REAL]])</f>
        <v>1.9999999999999998E-5</v>
      </c>
      <c r="F20" s="8">
        <f>TabelaDeDespesasOperacionais71214172226303438424650[[#This Row],[ESTIMADO]]-TabelaDeDespesasOperacionais71214172226303438424650[[#This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8">
        <v>0</v>
      </c>
      <c r="E21" s="8">
        <f>TabelaDeDespesasOperacionais71214172226303438424650[[#This Row],[REAL]]+(10^-6)*ROW(TabelaDeDespesasOperacionais71214172226303438424650[[#This Row],[REAL]])</f>
        <v>2.0999999999999999E-5</v>
      </c>
      <c r="F21" s="8">
        <f>TabelaDeDespesasOperacionais71214172226303438424650[[#This Row],[ESTIMADO]]-TabelaDeDespesasOperacionais71214172226303438424650[[#This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8">
        <v>0</v>
      </c>
      <c r="E22" s="8">
        <f>TabelaDeDespesasOperacionais71214172226303438424650[[#This Row],[REAL]]+(10^-6)*ROW(TabelaDeDespesasOperacionais71214172226303438424650[[#This Row],[REAL]])</f>
        <v>2.1999999999999999E-5</v>
      </c>
      <c r="F22" s="8">
        <f>TabelaDeDespesasOperacionais71214172226303438424650[[#This Row],[ESTIMADO]]-TabelaDeDespesasOperacionais71214172226303438424650[[#This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>
        <v>0</v>
      </c>
      <c r="E23" s="8">
        <f>TabelaDeDespesasOperacionais71214172226303438424650[[#This Row],[REAL]]+(10^-6)*ROW(TabelaDeDespesasOperacionais71214172226303438424650[[#This Row],[REAL]])</f>
        <v>2.3E-5</v>
      </c>
      <c r="F23" s="8">
        <f>TabelaDeDespesasOperacionais71214172226303438424650[[#This Row],[ESTIMADO]]-TabelaDeDespesasOperacionais71214172226303438424650[[#This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>
        <v>0</v>
      </c>
      <c r="E24" s="8">
        <f>TabelaDeDespesasOperacionais71214172226303438424650[[#This Row],[REAL]]+(10^-6)*ROW(TabelaDeDespesasOperacionais71214172226303438424650[[#This Row],[REAL]])</f>
        <v>2.4000000000000001E-5</v>
      </c>
      <c r="F24" s="8">
        <f>TabelaDeDespesasOperacionais71214172226303438424650[[#This Row],[ESTIMADO]]-TabelaDeDespesasOperacionais71214172226303438424650[[#This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>
        <v>0</v>
      </c>
      <c r="E25" s="8">
        <f>TabelaDeDespesasOperacionais71214172226303438424650[[#This Row],[REAL]]+(10^-6)*ROW(TabelaDeDespesasOperacionais71214172226303438424650[[#This Row],[REAL]])</f>
        <v>2.4999999999999998E-5</v>
      </c>
      <c r="F25" s="8">
        <f>TabelaDeDespesasOperacionais71214172226303438424650[[#This Row],[ESTIMADO]]-TabelaDeDespesasOperacionais71214172226303438424650[[#This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>
        <v>0</v>
      </c>
      <c r="E26" s="8">
        <f>TabelaDeDespesasOperacionais71214172226303438424650[[#This Row],[REAL]]+(10^-6)*ROW(TabelaDeDespesasOperacionais71214172226303438424650[[#This Row],[REAL]])</f>
        <v>2.5999999999999998E-5</v>
      </c>
      <c r="F26" s="8">
        <f>TabelaDeDespesasOperacionais71214172226303438424650[[#This Row],[ESTIMADO]]-TabelaDeDespesasOperacionais71214172226303438424650[[#This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>
        <v>0</v>
      </c>
      <c r="E27" s="8">
        <f>TabelaDeDespesasOperacionais71214172226303438424650[[#This Row],[REAL]]+(10^-6)*ROW(TabelaDeDespesasOperacionais71214172226303438424650[[#This Row],[REAL]])</f>
        <v>2.6999999999999999E-5</v>
      </c>
      <c r="F27" s="8">
        <f>TabelaDeDespesasOperacionais71214172226303438424650[[#This Row],[ESTIMADO]]-TabelaDeDespesasOperacionais71214172226303438424650[[#This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>
        <v>0</v>
      </c>
      <c r="E28" s="8">
        <f>TabelaDeDespesasOperacionais71214172226303438424650[[#This Row],[REAL]]+(10^-6)*ROW(TabelaDeDespesasOperacionais71214172226303438424650[[#This Row],[REAL]])</f>
        <v>2.8E-5</v>
      </c>
      <c r="F28" s="8">
        <f>TabelaDeDespesasOperacionais71214172226303438424650[[#This Row],[ESTIMADO]]-TabelaDeDespesasOperacionais71214172226303438424650[[#This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>
        <v>0</v>
      </c>
      <c r="E29" s="8">
        <f>TabelaDeDespesasOperacionais71214172226303438424650[[#This Row],[REAL]]+(10^-6)*ROW(TabelaDeDespesasOperacionais71214172226303438424650[[#This Row],[REAL]])</f>
        <v>2.9E-5</v>
      </c>
      <c r="F29" s="8">
        <f>TabelaDeDespesasOperacionais71214172226303438424650[[#This Row],[ESTIMADO]]-TabelaDeDespesasOperacionais71214172226303438424650[[#This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>
        <v>0</v>
      </c>
      <c r="E30" s="8">
        <f>TabelaDeDespesasOperacionais71214172226303438424650[[#This Row],[REAL]]+(10^-6)*ROW(TabelaDeDespesasOperacionais71214172226303438424650[[#This Row],[REAL]])</f>
        <v>2.9999999999999997E-5</v>
      </c>
      <c r="F30" s="8">
        <f>TabelaDeDespesasOperacionais71214172226303438424650[[#This Row],[ESTIMADO]]-TabelaDeDespesasOperacionais71214172226303438424650[[#This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SUBTOTAL(9,TabelaDeDespesasOperacionais71214172226303438424650[ESTIMADO])</f>
        <v>17580</v>
      </c>
      <c r="D31" s="12">
        <f>SUBTOTAL(9,TabelaDeDespesasOperacionais71214172226303438424650[REAL])</f>
        <v>0</v>
      </c>
      <c r="E31" s="12">
        <f>SUBTOTAL(9,TabelaDeDespesasOperacionais71214172226303438424650[5 Maiores Quantias])</f>
        <v>2.9399999999999999E-4</v>
      </c>
      <c r="F31" s="12">
        <f>SUBTOTAL(9,TabelaDeDespesasOperacionais71214172226303438424650[DIFERENÇA])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9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41944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TabelaDeRendimentos8131519232731353943475155[[#This Row],[REAL]]+(10^-6)*ROW(TabelaDeRendimentos8131519232731353943475155[[#This Row],[REAL]])</f>
        <v>4.9999999999999996E-6</v>
      </c>
      <c r="F5" s="5">
        <f>TabelaDeRendimentos8131519232731353943475155[[#This Row],[REAL]]-TabelaDeRendimentos8131519232731353943475155[[#This Row],[ESTIMADO]]</f>
        <v>-34900</v>
      </c>
      <c r="G5" s="3"/>
      <c r="H5" s="4" t="s">
        <v>6</v>
      </c>
      <c r="I5" s="5">
        <f>TabelaDeRendimentos8131519232731353943475155[[#Totals],[ESTIMADO]]</f>
        <v>157537</v>
      </c>
      <c r="J5" s="5">
        <f>TabelaDeRendimentos8131519232731353943475155[[#Totals],[REAL]]</f>
        <v>0</v>
      </c>
      <c r="K5" s="5">
        <f>TabelaDeTotais9141620242832364044485256[[#This Row],[REAL]]-TabelaDeTotais9141620242832364044485256[[#This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TabelaDeRendimentos8131519232731353943475155[[#This Row],[REAL]]+(10^-6)*ROW(TabelaDeRendimentos8131519232731353943475155[[#This Row],[REAL]])</f>
        <v>6.0000000000000002E-6</v>
      </c>
      <c r="F6" s="5">
        <f>TabelaDeRendimentos8131519232731353943475155[[#This Row],[REAL]]-TabelaDeRendimentos8131519232731353943475155[[#This Row],[ESTIMADO]]</f>
        <v>-55920.000000000007</v>
      </c>
      <c r="G6" s="3"/>
      <c r="H6" s="4" t="s">
        <v>7</v>
      </c>
      <c r="I6" s="5">
        <f>TabelaDeDespesasOperacionais7121417222630343842465054[[#Totals],[ESTIMADO]]+TabelaDeDespesasDePessoal11161821252933374145495357[[#Totals],[ESTIMADO]]</f>
        <v>45860</v>
      </c>
      <c r="J6" s="5">
        <f>TabelaDeDespesasOperacionais7121417222630343842465054[[#Totals],[REAL]]+TabelaDeDespesasDePessoal11161821252933374145495357[[#Totals],[REAL]]</f>
        <v>0</v>
      </c>
      <c r="K6" s="5">
        <f>TabelaDeTotais9141620242832364044485256[[#This Row],[ESTIMADO]]-TabelaDeTotais9141620242832364044485256[[#This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TabelaDeRendimentos8131519232731353943475155[[#This Row],[REAL]]+(10^-6)*ROW(TabelaDeRendimentos8131519232731353943475155[[#This Row],[REAL]])</f>
        <v>6.9999999999999999E-6</v>
      </c>
      <c r="F7" s="5">
        <f>TabelaDeRendimentos8131519232731353943475155[[#This Row],[REAL]]-TabelaDeRendimentos8131519232731353943475155[[#This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TabelaDeTotais9141620242832364044485256[[#Totals],[REAL]]-TabelaDeTotais9141620242832364044485256[[#Totals],[ESTIMADO]]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TabelaDeRendimentos8131519232731353943475155[[#This Row],[REAL]]+(10^-6)*ROW(TabelaDeRendimentos8131519232731353943475155[[#This Row],[REAL]])</f>
        <v>7.9999999999999996E-6</v>
      </c>
      <c r="F8" s="9">
        <f>TabelaDeRendimentos8131519232731353943475155[[#This Row],[REAL]]-TabelaDeRendimentos8131519232731353943475155[[#This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SUBTOTAL(9,TabelaDeRendimentos8131519232731353943475155[ESTIMADO])</f>
        <v>157537</v>
      </c>
      <c r="D9" s="13">
        <f>SUBTOTAL(9,TabelaDeRendimentos8131519232731353943475155[REAL])</f>
        <v>0</v>
      </c>
      <c r="E9" s="13">
        <f>SUBTOTAL(9,TabelaDeRendimentos8131519232731353943475155[5 Maiores Quantias])</f>
        <v>2.6000000000000002E-5</v>
      </c>
      <c r="F9" s="13">
        <f>SUBTOTAL(9,TabelaDeRendimentos8131519232731353943475155[DIFERENÇA])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TabelaDeDespesasDePessoal11161821252933374145495357[[#This Row],[REAL]]+(10^-6)*ROW(TabelaDeDespesasDePessoal11161821252933374145495357[[#This Row],[REAL]])</f>
        <v>1.2E-5</v>
      </c>
      <c r="F12" s="5">
        <f>TabelaDeDespesasDePessoal11161821252933374145495357[[#This Row],[ESTIMADO]]-TabelaDeDespesasDePessoal11161821252933374145495357[[#This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TabelaDeDespesasDePessoal11161821252933374145495357[[#This Row],[REAL]]+(10^-6)*ROW(TabelaDeDespesasDePessoal11161821252933374145495357[[#This Row],[REAL]])</f>
        <v>1.2999999999999999E-5</v>
      </c>
      <c r="F13" s="5">
        <f>TabelaDeDespesasDePessoal11161821252933374145495357[[#This Row],[ESTIMADO]]-TabelaDeDespesasDePessoal11161821252933374145495357[[#This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TabelaDeDespesasDePessoal11161821252933374145495357[[#This Row],[REAL]]+(10^-6)*ROW(TabelaDeDespesasDePessoal11161821252933374145495357[[#This Row],[REAL]])</f>
        <v>1.4E-5</v>
      </c>
      <c r="F14" s="5">
        <f>TabelaDeDespesasDePessoal11161821252933374145495357[[#This Row],[ESTIMADO]]-TabelaDeDespesasDePessoal11161821252933374145495357[[#This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TabelaDeDespesasDePessoal11161821252933374145495357[[#This Row],[REAL]]+(10^-6)*ROW(TabelaDeDespesasDePessoal11161821252933374145495357[[#This Row],[REAL]])</f>
        <v>1.4999999999999999E-5</v>
      </c>
      <c r="F15" s="5">
        <f>TabelaDeDespesasDePessoal11161821252933374145495357[[#This Row],[ESTIMADO]]-TabelaDeDespesasDePessoal11161821252933374145495357[[#This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SUBTOTAL(9,TabelaDeDespesasDePessoal11161821252933374145495357[ESTIMADO])</f>
        <v>28280</v>
      </c>
      <c r="D16" s="12">
        <f>SUBTOTAL(9,TabelaDeDespesasDePessoal11161821252933374145495357[REAL])</f>
        <v>0</v>
      </c>
      <c r="E16" s="12">
        <f>SUBTOTAL(9,TabelaDeDespesasDePessoal11161821252933374145495357[5 Maiores Quantias])</f>
        <v>5.3999999999999998E-5</v>
      </c>
      <c r="F16" s="12">
        <f>SUBTOTAL(9,TabelaDeDespesasDePessoal11161821252933374145495357[DIFERENÇA])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TabelaDeDespesasOperacionais7121417222630343842465054[[#This Row],[REAL]]+(10^-6)*ROW(TabelaDeDespesasOperacionais7121417222630343842465054[[#This Row],[REAL]])</f>
        <v>1.8999999999999998E-5</v>
      </c>
      <c r="F19" s="8">
        <f>TabelaDeDespesasOperacionais7121417222630343842465054[[#This Row],[ESTIMADO]]-TabelaDeDespesasOperacionais7121417222630343842465054[[#This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TabelaDeDespesasOperacionais7121417222630343842465054[[#This Row],[REAL]]+(10^-6)*ROW(TabelaDeDespesasOperacionais7121417222630343842465054[[#This Row],[REAL]])</f>
        <v>1.9999999999999998E-5</v>
      </c>
      <c r="F20" s="8">
        <f>TabelaDeDespesasOperacionais7121417222630343842465054[[#This Row],[ESTIMADO]]-TabelaDeDespesasOperacionais7121417222630343842465054[[#This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TabelaDeDespesasOperacionais7121417222630343842465054[[#This Row],[REAL]]+(10^-6)*ROW(TabelaDeDespesasOperacionais7121417222630343842465054[[#This Row],[REAL]])</f>
        <v>2.0999999999999999E-5</v>
      </c>
      <c r="F21" s="8">
        <f>TabelaDeDespesasOperacionais7121417222630343842465054[[#This Row],[ESTIMADO]]-TabelaDeDespesasOperacionais7121417222630343842465054[[#This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TabelaDeDespesasOperacionais7121417222630343842465054[[#This Row],[REAL]]+(10^-6)*ROW(TabelaDeDespesasOperacionais7121417222630343842465054[[#This Row],[REAL]])</f>
        <v>2.1999999999999999E-5</v>
      </c>
      <c r="F22" s="8">
        <f>TabelaDeDespesasOperacionais7121417222630343842465054[[#This Row],[ESTIMADO]]-TabelaDeDespesasOperacionais7121417222630343842465054[[#This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TabelaDeDespesasOperacionais7121417222630343842465054[[#This Row],[REAL]]+(10^-6)*ROW(TabelaDeDespesasOperacionais7121417222630343842465054[[#This Row],[REAL]])</f>
        <v>2.3E-5</v>
      </c>
      <c r="F23" s="8">
        <f>TabelaDeDespesasOperacionais7121417222630343842465054[[#This Row],[ESTIMADO]]-TabelaDeDespesasOperacionais7121417222630343842465054[[#This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TabelaDeDespesasOperacionais7121417222630343842465054[[#This Row],[REAL]]+(10^-6)*ROW(TabelaDeDespesasOperacionais7121417222630343842465054[[#This Row],[REAL]])</f>
        <v>2.4000000000000001E-5</v>
      </c>
      <c r="F24" s="8">
        <f>TabelaDeDespesasOperacionais7121417222630343842465054[[#This Row],[ESTIMADO]]-TabelaDeDespesasOperacionais7121417222630343842465054[[#This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TabelaDeDespesasOperacionais7121417222630343842465054[[#This Row],[REAL]]+(10^-6)*ROW(TabelaDeDespesasOperacionais7121417222630343842465054[[#This Row],[REAL]])</f>
        <v>2.4999999999999998E-5</v>
      </c>
      <c r="F25" s="8">
        <f>TabelaDeDespesasOperacionais7121417222630343842465054[[#This Row],[ESTIMADO]]-TabelaDeDespesasOperacionais7121417222630343842465054[[#This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TabelaDeDespesasOperacionais7121417222630343842465054[[#This Row],[REAL]]+(10^-6)*ROW(TabelaDeDespesasOperacionais7121417222630343842465054[[#This Row],[REAL]])</f>
        <v>2.5999999999999998E-5</v>
      </c>
      <c r="F26" s="8">
        <f>TabelaDeDespesasOperacionais7121417222630343842465054[[#This Row],[ESTIMADO]]-TabelaDeDespesasOperacionais7121417222630343842465054[[#This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TabelaDeDespesasOperacionais7121417222630343842465054[[#This Row],[REAL]]+(10^-6)*ROW(TabelaDeDespesasOperacionais7121417222630343842465054[[#This Row],[REAL]])</f>
        <v>2.6999999999999999E-5</v>
      </c>
      <c r="F27" s="8">
        <f>TabelaDeDespesasOperacionais7121417222630343842465054[[#This Row],[ESTIMADO]]-TabelaDeDespesasOperacionais7121417222630343842465054[[#This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TabelaDeDespesasOperacionais7121417222630343842465054[[#This Row],[REAL]]+(10^-6)*ROW(TabelaDeDespesasOperacionais7121417222630343842465054[[#This Row],[REAL]])</f>
        <v>2.8E-5</v>
      </c>
      <c r="F28" s="8">
        <f>TabelaDeDespesasOperacionais7121417222630343842465054[[#This Row],[ESTIMADO]]-TabelaDeDespesasOperacionais7121417222630343842465054[[#This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TabelaDeDespesasOperacionais7121417222630343842465054[[#This Row],[REAL]]+(10^-6)*ROW(TabelaDeDespesasOperacionais7121417222630343842465054[[#This Row],[REAL]])</f>
        <v>2.9E-5</v>
      </c>
      <c r="F29" s="8">
        <f>TabelaDeDespesasOperacionais7121417222630343842465054[[#This Row],[ESTIMADO]]-TabelaDeDespesasOperacionais7121417222630343842465054[[#This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TabelaDeDespesasOperacionais7121417222630343842465054[[#This Row],[REAL]]+(10^-6)*ROW(TabelaDeDespesasOperacionais7121417222630343842465054[[#This Row],[REAL]])</f>
        <v>2.9999999999999997E-5</v>
      </c>
      <c r="F30" s="8">
        <f>TabelaDeDespesasOperacionais7121417222630343842465054[[#This Row],[ESTIMADO]]-TabelaDeDespesasOperacionais7121417222630343842465054[[#This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SUBTOTAL(9,TabelaDeDespesasOperacionais7121417222630343842465054[ESTIMADO])</f>
        <v>17580</v>
      </c>
      <c r="D31" s="12">
        <f>SUBTOTAL(9,TabelaDeDespesasOperacionais7121417222630343842465054[REAL])</f>
        <v>0</v>
      </c>
      <c r="E31" s="12">
        <f>SUBTOTAL(9,TabelaDeDespesasOperacionais7121417222630343842465054[5 Maiores Quantias])</f>
        <v>2.9399999999999999E-4</v>
      </c>
      <c r="F31" s="12">
        <f>SUBTOTAL(9,TabelaDeDespesasOperacionais7121417222630343842465054[DIFERENÇA])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tabColor theme="6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37</v>
      </c>
      <c r="G2" s="40"/>
      <c r="H2" s="23" t="s">
        <v>71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TabelaDeRendimentos81315[[#This Row],[ESTIMADO]]+TabelaDeRendimentos8131519[[#This Row],[ESTIMADO]]+TabelaDeRendimentos813151923[[#This Row],[ESTIMADO]]</f>
        <v>104700</v>
      </c>
      <c r="D5" s="5">
        <f>TabelaDeRendimentos81315[[#This Row],[REAL]]+TabelaDeRendimentos8131519[[#This Row],[REAL]]+TabelaDeRendimentos813151923[[#This Row],[REAL]]</f>
        <v>99465</v>
      </c>
      <c r="E5" s="5">
        <f>TabelaDeRendimentos8131563[[#This Row],[REAL]]+(10^-6)*ROW(TabelaDeRendimentos8131563[[#This Row],[REAL]])</f>
        <v>99465.000004999994</v>
      </c>
      <c r="F5" s="5">
        <f>TabelaDeRendimentos8131563[[#This Row],[REAL]]-TabelaDeRendimentos8131563[[#This Row],[ESTIMADO]]</f>
        <v>-5235</v>
      </c>
      <c r="G5" s="3"/>
      <c r="H5" s="4" t="s">
        <v>6</v>
      </c>
      <c r="I5" s="5">
        <f>TabelaDeRendimentos8131563[[#Totals],[ESTIMADO]]</f>
        <v>472611</v>
      </c>
      <c r="J5" s="5">
        <f>TabelaDeRendimentos8131563[[#Totals],[REAL]]</f>
        <v>471216.5</v>
      </c>
      <c r="K5" s="5">
        <f>TabelaDeTotais9141664[[#This Row],[REAL]]-TabelaDeTotais9141664[[#This Row],[ESTIMADO]]</f>
        <v>-1394.5</v>
      </c>
      <c r="L5" s="3"/>
    </row>
    <row r="6" spans="1:524" ht="16.5" customHeight="1" x14ac:dyDescent="0.25">
      <c r="A6" s="3"/>
      <c r="B6" s="7" t="s">
        <v>19</v>
      </c>
      <c r="C6" s="5">
        <f>TabelaDeRendimentos81315[[#This Row],[ESTIMADO]]+TabelaDeRendimentos8131519[[#This Row],[ESTIMADO]]+TabelaDeRendimentos813151923[[#This Row],[ESTIMADO]]</f>
        <v>167760.00000000003</v>
      </c>
      <c r="D6" s="5">
        <f>TabelaDeRendimentos81315[[#This Row],[REAL]]+TabelaDeRendimentos8131519[[#This Row],[REAL]]+TabelaDeRendimentos813151923[[#This Row],[REAL]]</f>
        <v>169507.50000000003</v>
      </c>
      <c r="E6" s="5">
        <f>TabelaDeRendimentos8131563[[#This Row],[REAL]]+(10^-6)*ROW(TabelaDeRendimentos8131563[[#This Row],[REAL]])</f>
        <v>169507.50000600002</v>
      </c>
      <c r="F6" s="5">
        <f>TabelaDeRendimentos8131563[[#This Row],[REAL]]-TabelaDeRendimentos8131563[[#This Row],[ESTIMADO]]</f>
        <v>1747.5</v>
      </c>
      <c r="G6" s="3"/>
      <c r="H6" s="4" t="s">
        <v>7</v>
      </c>
      <c r="I6" s="5">
        <f>TabelaDeDespesasOperacionais7121462[[#Totals],[ESTIMADO]]+TabelaDeDespesasDePessoal11161865[[#Totals],[ESTIMADO]]</f>
        <v>137580</v>
      </c>
      <c r="J6" s="5">
        <f>TabelaDeDespesasOperacionais7121462[[#Totals],[REAL]]+TabelaDeDespesasDePessoal11161865[[#Totals],[REAL]]</f>
        <v>109980</v>
      </c>
      <c r="K6" s="5">
        <f>TabelaDeTotais9141664[[#This Row],[ESTIMADO]]-TabelaDeTotais9141664[[#This Row],[REAL]]</f>
        <v>27600</v>
      </c>
      <c r="L6" s="3"/>
    </row>
    <row r="7" spans="1:524" ht="16.5" customHeight="1" x14ac:dyDescent="0.25">
      <c r="A7" s="3"/>
      <c r="B7" s="7" t="s">
        <v>20</v>
      </c>
      <c r="C7" s="5">
        <f>TabelaDeRendimentos81315[[#This Row],[ESTIMADO]]+TabelaDeRendimentos8131519[[#This Row],[ESTIMADO]]+TabelaDeRendimentos813151923[[#This Row],[ESTIMADO]]</f>
        <v>78525</v>
      </c>
      <c r="D7" s="5">
        <f>TabelaDeRendimentos81315[[#This Row],[REAL]]+TabelaDeRendimentos8131519[[#This Row],[REAL]]+TabelaDeRendimentos813151923[[#This Row],[REAL]]</f>
        <v>81317</v>
      </c>
      <c r="E7" s="5">
        <f>TabelaDeRendimentos8131563[[#This Row],[REAL]]+(10^-6)*ROW(TabelaDeRendimentos8131563[[#This Row],[REAL]])</f>
        <v>81317.000006999995</v>
      </c>
      <c r="F7" s="5">
        <f>TabelaDeRendimentos8131563[[#This Row],[REAL]]-TabelaDeRendimentos8131563[[#This Row],[ESTIMADO]]</f>
        <v>2792</v>
      </c>
      <c r="G7" s="3"/>
      <c r="H7" s="14" t="s">
        <v>8</v>
      </c>
      <c r="I7" s="15">
        <f>I5-I6</f>
        <v>335031</v>
      </c>
      <c r="J7" s="15">
        <f>J5-J6</f>
        <v>361236.5</v>
      </c>
      <c r="K7" s="15">
        <f>TabelaDeTotais9141664[[#Totals],[REAL]]-TabelaDeTotais9141664[[#Totals],[ESTIMADO]]</f>
        <v>26205.5</v>
      </c>
      <c r="L7" s="3"/>
    </row>
    <row r="8" spans="1:524" ht="16.5" customHeight="1" x14ac:dyDescent="0.25">
      <c r="A8" s="3"/>
      <c r="B8" s="7" t="s">
        <v>21</v>
      </c>
      <c r="C8" s="5">
        <f>TabelaDeRendimentos81315[[#This Row],[ESTIMADO]]+TabelaDeRendimentos8131519[[#This Row],[ESTIMADO]]+TabelaDeRendimentos813151923[[#This Row],[ESTIMADO]]</f>
        <v>121626</v>
      </c>
      <c r="D8" s="5">
        <f>TabelaDeRendimentos81315[[#This Row],[REAL]]+TabelaDeRendimentos8131519[[#This Row],[REAL]]+TabelaDeRendimentos813151923[[#This Row],[REAL]]</f>
        <v>120927</v>
      </c>
      <c r="E8" s="5">
        <f>TabelaDeRendimentos8131563[[#This Row],[REAL]]+(10^-6)*ROW(TabelaDeRendimentos8131563[[#This Row],[REAL]])</f>
        <v>120927.000008</v>
      </c>
      <c r="F8" s="9">
        <f>TabelaDeRendimentos8131563[[#This Row],[REAL]]-TabelaDeRendimentos8131563[[#This Row],[ESTIMADO]]</f>
        <v>-699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SUBTOTAL(9,TabelaDeRendimentos8131563[ESTIMADO])</f>
        <v>472611</v>
      </c>
      <c r="D9" s="13">
        <f>SUBTOTAL(9,TabelaDeRendimentos8131563[REAL])</f>
        <v>471216.5</v>
      </c>
      <c r="E9" s="13">
        <f>SUBTOTAL(9,TabelaDeRendimentos8131563[5 Maiores Quantias])</f>
        <v>471216.50002600002</v>
      </c>
      <c r="F9" s="13">
        <f>SUBTOTAL(9,TabelaDeRendimentos8131563[DIFERENÇA])</f>
        <v>-1394.5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TabelaDeDespesasDePessoal111618[[#This Row],[ESTIMADO]]+TabelaDeDespesasDePessoal11161821[[#This Row],[ESTIMADO]]+TabelaDeDespesasDePessoal1116182125[[#This Row],[ESTIMADO]]</f>
        <v>1440</v>
      </c>
      <c r="D12" s="5">
        <f>TabelaDeDespesasDePessoal111618[[#This Row],[REAL]]+TabelaDeDespesasDePessoal11161821[[#This Row],[REAL]]+TabelaDeDespesasDePessoal1116182125[[#This Row],[REAL]]</f>
        <v>1000</v>
      </c>
      <c r="E12" s="8">
        <f>TabelaDeDespesasDePessoal11161865[[#This Row],[REAL]]+(10^-6)*ROW(TabelaDeDespesasDePessoal11161865[[#This Row],[REAL]])</f>
        <v>1000.000012</v>
      </c>
      <c r="F12" s="5">
        <f>TabelaDeDespesasDePessoal11161865[[#This Row],[ESTIMADO]]-TabelaDeDespesasDePessoal11161865[[#This Row],[REAL]]</f>
        <v>440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TabelaDeDespesasDePessoal111618[[#This Row],[ESTIMADO]]+TabelaDeDespesasDePessoal11161821[[#This Row],[ESTIMADO]]+TabelaDeDespesasDePessoal1116182125[[#This Row],[ESTIMADO]]</f>
        <v>900</v>
      </c>
      <c r="D13" s="5">
        <f>TabelaDeDespesasDePessoal111618[[#This Row],[REAL]]+TabelaDeDespesasDePessoal11161821[[#This Row],[REAL]]+TabelaDeDespesasDePessoal1116182125[[#This Row],[REAL]]</f>
        <v>700</v>
      </c>
      <c r="E13" s="8">
        <f>TabelaDeDespesasDePessoal11161865[[#This Row],[REAL]]+(10^-6)*ROW(TabelaDeDespesasDePessoal11161865[[#This Row],[REAL]])</f>
        <v>700.00001299999997</v>
      </c>
      <c r="F13" s="5">
        <f>TabelaDeDespesasDePessoal11161865[[#This Row],[ESTIMADO]]-TabelaDeDespesasDePessoal11161865[[#This Row],[REAL]]</f>
        <v>200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TabelaDeDespesasDePessoal111618[[#This Row],[ESTIMADO]]+TabelaDeDespesasDePessoal11161821[[#This Row],[ESTIMADO]]+TabelaDeDespesasDePessoal1116182125[[#This Row],[ESTIMADO]]</f>
        <v>37500</v>
      </c>
      <c r="D14" s="5">
        <f>TabelaDeDespesasDePessoal111618[[#This Row],[REAL]]+TabelaDeDespesasDePessoal11161821[[#This Row],[REAL]]+TabelaDeDespesasDePessoal1116182125[[#This Row],[REAL]]</f>
        <v>26000</v>
      </c>
      <c r="E14" s="8">
        <f>TabelaDeDespesasDePessoal11161865[[#This Row],[REAL]]+(10^-6)*ROW(TabelaDeDespesasDePessoal11161865[[#This Row],[REAL]])</f>
        <v>26000.000014000001</v>
      </c>
      <c r="F14" s="5">
        <f>TabelaDeDespesasDePessoal11161865[[#This Row],[ESTIMADO]]-TabelaDeDespesasDePessoal11161865[[#This Row],[REAL]]</f>
        <v>11500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TabelaDeDespesasDePessoal111618[[#This Row],[ESTIMADO]]+TabelaDeDespesasDePessoal11161821[[#This Row],[ESTIMADO]]+TabelaDeDespesasDePessoal1116182125[[#This Row],[ESTIMADO]]</f>
        <v>45000</v>
      </c>
      <c r="D15" s="5">
        <f>TabelaDeDespesasDePessoal111618[[#This Row],[REAL]]+TabelaDeDespesasDePessoal11161821[[#This Row],[REAL]]+TabelaDeDespesasDePessoal1116182125[[#This Row],[REAL]]</f>
        <v>29700</v>
      </c>
      <c r="E15" s="8">
        <f>TabelaDeDespesasDePessoal11161865[[#This Row],[REAL]]+(10^-6)*ROW(TabelaDeDespesasDePessoal11161865[[#This Row],[REAL]])</f>
        <v>29700.000015000001</v>
      </c>
      <c r="F15" s="5">
        <f>TabelaDeDespesasDePessoal11161865[[#This Row],[ESTIMADO]]-TabelaDeDespesasDePessoal11161865[[#This Row],[REAL]]</f>
        <v>15300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SUBTOTAL(9,TabelaDeDespesasDePessoal11161865[ESTIMADO])</f>
        <v>84840</v>
      </c>
      <c r="D16" s="12">
        <f>SUBTOTAL(9,TabelaDeDespesasDePessoal11161865[REAL])</f>
        <v>57400</v>
      </c>
      <c r="E16" s="12">
        <f>SUBTOTAL(9,TabelaDeDespesasDePessoal11161865[5 Maiores Quantias])</f>
        <v>57400.000054000004</v>
      </c>
      <c r="F16" s="12">
        <f>SUBTOTAL(9,TabelaDeDespesasDePessoal11161865[DIFERENÇA])</f>
        <v>27440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TabelaDeDespesasOperacionais71214[[#This Row],[ESTIMADO]]+TabelaDeDespesasOperacionais7121417[[#This Row],[ESTIMADO]]+TabelaDeDespesasOperacionais712141722[[#This Row],[ESTIMADO]]</f>
        <v>90</v>
      </c>
      <c r="D19" s="8">
        <f>TabelaDeDespesasOperacionais71214[[#This Row],[REAL]]+TabelaDeDespesasOperacionais7121417[[#This Row],[REAL]]+TabelaDeDespesasOperacionais712141722[[#This Row],[REAL]]</f>
        <v>90</v>
      </c>
      <c r="E19" s="8">
        <f>TabelaDeDespesasOperacionais7121462[[#This Row],[REAL]]+(10^-6)*ROW(TabelaDeDespesasOperacionais7121462[[#This Row],[REAL]])</f>
        <v>90.000018999999995</v>
      </c>
      <c r="F19" s="8">
        <f>TabelaDeDespesasOperacionais7121462[[#This Row],[ESTIMADO]]-TabelaDeDespesasOperacionais7121462[[#This Row],[REAL]]</f>
        <v>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TabelaDeDespesasOperacionais71214[[#This Row],[ESTIMADO]]+TabelaDeDespesasOperacionais7121417[[#This Row],[ESTIMADO]]+TabelaDeDespesasOperacionais712141722[[#This Row],[ESTIMADO]]</f>
        <v>1350</v>
      </c>
      <c r="D20" s="8">
        <f>TabelaDeDespesasOperacionais71214[[#This Row],[REAL]]+TabelaDeDespesasOperacionais7121417[[#This Row],[REAL]]+TabelaDeDespesasOperacionais712141722[[#This Row],[REAL]]</f>
        <v>1350</v>
      </c>
      <c r="E20" s="8">
        <f>TabelaDeDespesasOperacionais7121462[[#This Row],[REAL]]+(10^-6)*ROW(TabelaDeDespesasOperacionais7121462[[#This Row],[REAL]])</f>
        <v>1350.0000199999999</v>
      </c>
      <c r="F20" s="8">
        <f>TabelaDeDespesasOperacionais7121462[[#This Row],[ESTIMADO]]-TabelaDeDespesasOperacionais7121462[[#This Row],[REAL]]</f>
        <v>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TabelaDeDespesasOperacionais71214[[#This Row],[ESTIMADO]]+TabelaDeDespesasOperacionais7121417[[#This Row],[ESTIMADO]]+TabelaDeDespesasOperacionais712141722[[#This Row],[ESTIMADO]]</f>
        <v>3600</v>
      </c>
      <c r="D21" s="8">
        <f>TabelaDeDespesasOperacionais71214[[#This Row],[REAL]]+TabelaDeDespesasOperacionais7121417[[#This Row],[REAL]]+TabelaDeDespesasOperacionais712141722[[#This Row],[REAL]]</f>
        <v>4550</v>
      </c>
      <c r="E21" s="8">
        <f>TabelaDeDespesasOperacionais7121462[[#This Row],[REAL]]+(10^-6)*ROW(TabelaDeDespesasOperacionais7121462[[#This Row],[REAL]])</f>
        <v>4550.0000209999998</v>
      </c>
      <c r="F21" s="8">
        <f>TabelaDeDespesasOperacionais7121462[[#This Row],[ESTIMADO]]-TabelaDeDespesasOperacionais7121462[[#This Row],[REAL]]</f>
        <v>-950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TabelaDeDespesasOperacionais71214[[#This Row],[ESTIMADO]]+TabelaDeDespesasOperacionais7121417[[#This Row],[ESTIMADO]]+TabelaDeDespesasOperacionais712141722[[#This Row],[ESTIMADO]]</f>
        <v>7500</v>
      </c>
      <c r="D22" s="8">
        <f>TabelaDeDespesasOperacionais71214[[#This Row],[REAL]]+TabelaDeDespesasOperacionais7121417[[#This Row],[REAL]]+TabelaDeDespesasOperacionais712141722[[#This Row],[REAL]]</f>
        <v>5450</v>
      </c>
      <c r="E22" s="8">
        <f>TabelaDeDespesasOperacionais7121462[[#This Row],[REAL]]+(10^-6)*ROW(TabelaDeDespesasOperacionais7121462[[#This Row],[REAL]])</f>
        <v>5450.0000220000002</v>
      </c>
      <c r="F22" s="8">
        <f>TabelaDeDespesasOperacionais7121462[[#This Row],[ESTIMADO]]-TabelaDeDespesasOperacionais7121462[[#This Row],[REAL]]</f>
        <v>2050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TabelaDeDespesasOperacionais71214[[#This Row],[ESTIMADO]]+TabelaDeDespesasOperacionais7121417[[#This Row],[ESTIMADO]]+TabelaDeDespesasOperacionais712141722[[#This Row],[ESTIMADO]]</f>
        <v>18000</v>
      </c>
      <c r="D23" s="8">
        <f>TabelaDeDespesasOperacionais71214[[#This Row],[REAL]]+TabelaDeDespesasOperacionais7121417[[#This Row],[REAL]]+TabelaDeDespesasOperacionais712141722[[#This Row],[REAL]]</f>
        <v>18000</v>
      </c>
      <c r="E23" s="8">
        <f>TabelaDeDespesasOperacionais7121462[[#This Row],[REAL]]+(10^-6)*ROW(TabelaDeDespesasOperacionais7121462[[#This Row],[REAL]])</f>
        <v>18000.000023000001</v>
      </c>
      <c r="F23" s="8">
        <f>TabelaDeDespesasOperacionais7121462[[#This Row],[ESTIMADO]]-TabelaDeDespesasOperacionais7121462[[#This Row],[REAL]]</f>
        <v>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TabelaDeDespesasOperacionais71214[[#This Row],[ESTIMADO]]+TabelaDeDespesasOperacionais7121417[[#This Row],[ESTIMADO]]+TabelaDeDespesasOperacionais712141722[[#This Row],[ESTIMADO]]</f>
        <v>750</v>
      </c>
      <c r="D24" s="8">
        <f>TabelaDeDespesasOperacionais71214[[#This Row],[REAL]]+TabelaDeDespesasOperacionais7121417[[#This Row],[REAL]]+TabelaDeDespesasOperacionais712141722[[#This Row],[REAL]]</f>
        <v>750</v>
      </c>
      <c r="E24" s="8">
        <f>TabelaDeDespesasOperacionais7121462[[#This Row],[REAL]]+(10^-6)*ROW(TabelaDeDespesasOperacionais7121462[[#This Row],[REAL]])</f>
        <v>750.00002400000005</v>
      </c>
      <c r="F24" s="8">
        <f>TabelaDeDespesasOperacionais7121462[[#This Row],[ESTIMADO]]-TabelaDeDespesasOperacionais7121462[[#This Row],[REAL]]</f>
        <v>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TabelaDeDespesasOperacionais71214[[#This Row],[ESTIMADO]]+TabelaDeDespesasOperacionais7121417[[#This Row],[ESTIMADO]]+TabelaDeDespesasOperacionais712141722[[#This Row],[ESTIMADO]]</f>
        <v>900</v>
      </c>
      <c r="D25" s="8">
        <f>TabelaDeDespesasOperacionais71214[[#This Row],[REAL]]+TabelaDeDespesasOperacionais7121417[[#This Row],[REAL]]+TabelaDeDespesasOperacionais712141722[[#This Row],[REAL]]</f>
        <v>1180</v>
      </c>
      <c r="E25" s="8">
        <f>TabelaDeDespesasOperacionais7121462[[#This Row],[REAL]]+(10^-6)*ROW(TabelaDeDespesasOperacionais7121462[[#This Row],[REAL]])</f>
        <v>1180.0000250000001</v>
      </c>
      <c r="F25" s="8">
        <f>TabelaDeDespesasOperacionais7121462[[#This Row],[ESTIMADO]]-TabelaDeDespesasOperacionais7121462[[#This Row],[REAL]]</f>
        <v>-280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TabelaDeDespesasOperacionais71214[[#This Row],[ESTIMADO]]+TabelaDeDespesasOperacionais7121417[[#This Row],[ESTIMADO]]+TabelaDeDespesasOperacionais712141722[[#This Row],[ESTIMADO]]</f>
        <v>1350</v>
      </c>
      <c r="D26" s="8">
        <f>TabelaDeDespesasOperacionais71214[[#This Row],[REAL]]+TabelaDeDespesasOperacionais7121417[[#This Row],[REAL]]+TabelaDeDespesasOperacionais712141722[[#This Row],[REAL]]</f>
        <v>1295</v>
      </c>
      <c r="E26" s="8">
        <f>TabelaDeDespesasOperacionais7121462[[#This Row],[REAL]]+(10^-6)*ROW(TabelaDeDespesasOperacionais7121462[[#This Row],[REAL]])</f>
        <v>1295.0000259999999</v>
      </c>
      <c r="F26" s="8">
        <f>TabelaDeDespesasOperacionais7121462[[#This Row],[ESTIMADO]]-TabelaDeDespesasOperacionais7121462[[#This Row],[REAL]]</f>
        <v>55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TabelaDeDespesasOperacionais71214[[#This Row],[ESTIMADO]]+TabelaDeDespesasOperacionais7121417[[#This Row],[ESTIMADO]]+TabelaDeDespesasOperacionais712141722[[#This Row],[ESTIMADO]]</f>
        <v>750</v>
      </c>
      <c r="D27" s="8">
        <f>TabelaDeDespesasOperacionais71214[[#This Row],[REAL]]+TabelaDeDespesasOperacionais7121417[[#This Row],[REAL]]+TabelaDeDespesasOperacionais712141722[[#This Row],[REAL]]</f>
        <v>375</v>
      </c>
      <c r="E27" s="8">
        <f>TabelaDeDespesasOperacionais7121462[[#This Row],[REAL]]+(10^-6)*ROW(TabelaDeDespesasOperacionais7121462[[#This Row],[REAL]])</f>
        <v>375.00002699999999</v>
      </c>
      <c r="F27" s="8">
        <f>TabelaDeDespesasOperacionais7121462[[#This Row],[ESTIMADO]]-TabelaDeDespesasOperacionais7121462[[#This Row],[REAL]]</f>
        <v>375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TabelaDeDespesasOperacionais71214[[#This Row],[ESTIMADO]]+TabelaDeDespesasOperacionais7121417[[#This Row],[ESTIMADO]]+TabelaDeDespesasOperacionais712141722[[#This Row],[ESTIMADO]]</f>
        <v>450</v>
      </c>
      <c r="D28" s="8">
        <f>TabelaDeDespesasOperacionais71214[[#This Row],[REAL]]+TabelaDeDespesasOperacionais7121417[[#This Row],[REAL]]+TabelaDeDespesasOperacionais712141722[[#This Row],[REAL]]</f>
        <v>490</v>
      </c>
      <c r="E28" s="8">
        <f>TabelaDeDespesasOperacionais7121462[[#This Row],[REAL]]+(10^-6)*ROW(TabelaDeDespesasOperacionais7121462[[#This Row],[REAL]])</f>
        <v>490.00002799999999</v>
      </c>
      <c r="F28" s="8">
        <f>TabelaDeDespesasOperacionais7121462[[#This Row],[ESTIMADO]]-TabelaDeDespesasOperacionais7121462[[#This Row],[REAL]]</f>
        <v>-40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TabelaDeDespesasOperacionais71214[[#This Row],[ESTIMADO]]+TabelaDeDespesasOperacionais7121417[[#This Row],[ESTIMADO]]+TabelaDeDespesasOperacionais712141722[[#This Row],[ESTIMADO]]</f>
        <v>13500</v>
      </c>
      <c r="D29" s="8">
        <f>TabelaDeDespesasOperacionais71214[[#This Row],[REAL]]+TabelaDeDespesasOperacionais7121417[[#This Row],[REAL]]+TabelaDeDespesasOperacionais712141722[[#This Row],[REAL]]</f>
        <v>14700</v>
      </c>
      <c r="E29" s="8">
        <f>TabelaDeDespesasOperacionais7121462[[#This Row],[REAL]]+(10^-6)*ROW(TabelaDeDespesasOperacionais7121462[[#This Row],[REAL]])</f>
        <v>14700.000029000001</v>
      </c>
      <c r="F29" s="8">
        <f>TabelaDeDespesasOperacionais7121462[[#This Row],[ESTIMADO]]-TabelaDeDespesasOperacionais7121462[[#This Row],[REAL]]</f>
        <v>-1200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TabelaDeDespesasOperacionais71214[[#This Row],[ESTIMADO]]+TabelaDeDespesasOperacionais7121417[[#This Row],[ESTIMADO]]+TabelaDeDespesasOperacionais712141722[[#This Row],[ESTIMADO]]</f>
        <v>4500</v>
      </c>
      <c r="D30" s="8">
        <f>TabelaDeDespesasOperacionais71214[[#This Row],[REAL]]+TabelaDeDespesasOperacionais7121417[[#This Row],[REAL]]+TabelaDeDespesasOperacionais712141722[[#This Row],[REAL]]</f>
        <v>4350</v>
      </c>
      <c r="E30" s="8">
        <f>TabelaDeDespesasOperacionais7121462[[#This Row],[REAL]]+(10^-6)*ROW(TabelaDeDespesasOperacionais7121462[[#This Row],[REAL]])</f>
        <v>4350.0000300000002</v>
      </c>
      <c r="F30" s="8">
        <f>TabelaDeDespesasOperacionais7121462[[#This Row],[ESTIMADO]]-TabelaDeDespesasOperacionais7121462[[#This Row],[REAL]]</f>
        <v>150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SUBTOTAL(9,TabelaDeDespesasOperacionais7121462[ESTIMADO])</f>
        <v>52740</v>
      </c>
      <c r="D31" s="12">
        <f>SUBTOTAL(9,TabelaDeDespesasOperacionais7121462[REAL])</f>
        <v>52580</v>
      </c>
      <c r="E31" s="12">
        <f>SUBTOTAL(9,TabelaDeDespesasOperacionais7121462[5 Maiores Quantias])</f>
        <v>52580.000294000012</v>
      </c>
      <c r="F31" s="12">
        <f>SUBTOTAL(9,TabelaDeDespesasOperacionais7121462[DIFERENÇA])</f>
        <v>160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0">
    <tabColor theme="9" tint="0.59999389629810485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41974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0</v>
      </c>
      <c r="E5" s="5">
        <f>TabelaDeRendimentos813151923273135394347515559[[#This Row],[REAL]]+(10^-6)*ROW(TabelaDeRendimentos813151923273135394347515559[[#This Row],[REAL]])</f>
        <v>4.9999999999999996E-6</v>
      </c>
      <c r="F5" s="5">
        <f>TabelaDeRendimentos813151923273135394347515559[[#This Row],[REAL]]-TabelaDeRendimentos813151923273135394347515559[[#This Row],[ESTIMADO]]</f>
        <v>-34900</v>
      </c>
      <c r="G5" s="3"/>
      <c r="H5" s="4" t="s">
        <v>6</v>
      </c>
      <c r="I5" s="5">
        <f>TabelaDeRendimentos813151923273135394347515559[[#Totals],[ESTIMADO]]</f>
        <v>157537</v>
      </c>
      <c r="J5" s="5">
        <f>TabelaDeRendimentos813151923273135394347515559[[#Totals],[REAL]]</f>
        <v>0</v>
      </c>
      <c r="K5" s="5">
        <f>TabelaDeTotais914162024283236404448525660[[#This Row],[REAL]]-TabelaDeTotais914162024283236404448525660[[#This Row],[ESTIMADO]]</f>
        <v>-157537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0</v>
      </c>
      <c r="E6" s="5">
        <f>TabelaDeRendimentos813151923273135394347515559[[#This Row],[REAL]]+(10^-6)*ROW(TabelaDeRendimentos813151923273135394347515559[[#This Row],[REAL]])</f>
        <v>6.0000000000000002E-6</v>
      </c>
      <c r="F6" s="5">
        <f>TabelaDeRendimentos813151923273135394347515559[[#This Row],[REAL]]-TabelaDeRendimentos813151923273135394347515559[[#This Row],[ESTIMADO]]</f>
        <v>-55920.000000000007</v>
      </c>
      <c r="G6" s="3"/>
      <c r="H6" s="4" t="s">
        <v>7</v>
      </c>
      <c r="I6" s="5">
        <f>TabelaDeDespesasOperacionais712141722263034384246505458[[#Totals],[ESTIMADO]]+TabelaDeDespesasDePessoal1116182125293337414549535761[[#Totals],[ESTIMADO]]</f>
        <v>45860</v>
      </c>
      <c r="J6" s="5">
        <f>TabelaDeDespesasOperacionais712141722263034384246505458[[#Totals],[REAL]]+TabelaDeDespesasDePessoal1116182125293337414549535761[[#Totals],[REAL]]</f>
        <v>0</v>
      </c>
      <c r="K6" s="5">
        <f>TabelaDeTotais914162024283236404448525660[[#This Row],[ESTIMADO]]-TabelaDeTotais914162024283236404448525660[[#This Row],[REAL]]</f>
        <v>45860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0</v>
      </c>
      <c r="E7" s="5">
        <f>TabelaDeRendimentos813151923273135394347515559[[#This Row],[REAL]]+(10^-6)*ROW(TabelaDeRendimentos813151923273135394347515559[[#This Row],[REAL]])</f>
        <v>6.9999999999999999E-6</v>
      </c>
      <c r="F7" s="5">
        <f>TabelaDeRendimentos813151923273135394347515559[[#This Row],[REAL]]-TabelaDeRendimentos813151923273135394347515559[[#This Row],[ESTIMADO]]</f>
        <v>-26175</v>
      </c>
      <c r="G7" s="3"/>
      <c r="H7" s="14" t="s">
        <v>8</v>
      </c>
      <c r="I7" s="15">
        <f>I5-I6</f>
        <v>111677</v>
      </c>
      <c r="J7" s="15">
        <f>J5-J6</f>
        <v>0</v>
      </c>
      <c r="K7" s="15">
        <f>TabelaDeTotais914162024283236404448525660[[#Totals],[REAL]]-TabelaDeTotais914162024283236404448525660[[#Totals],[ESTIMADO]]</f>
        <v>-111677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5">
        <v>0</v>
      </c>
      <c r="E8" s="5">
        <f>TabelaDeRendimentos813151923273135394347515559[[#This Row],[REAL]]+(10^-6)*ROW(TabelaDeRendimentos813151923273135394347515559[[#This Row],[REAL]])</f>
        <v>7.9999999999999996E-6</v>
      </c>
      <c r="F8" s="9">
        <f>TabelaDeRendimentos813151923273135394347515559[[#This Row],[REAL]]-TabelaDeRendimentos813151923273135394347515559[[#This Row],[ESTIMADO]]</f>
        <v>-40542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SUBTOTAL(9,TabelaDeRendimentos813151923273135394347515559[ESTIMADO])</f>
        <v>157537</v>
      </c>
      <c r="D9" s="13">
        <f>SUBTOTAL(9,TabelaDeRendimentos813151923273135394347515559[REAL])</f>
        <v>0</v>
      </c>
      <c r="E9" s="13">
        <f>SUBTOTAL(9,TabelaDeRendimentos813151923273135394347515559[5 Maiores Quantias])</f>
        <v>2.6000000000000002E-5</v>
      </c>
      <c r="F9" s="13">
        <f>SUBTOTAL(9,TabelaDeRendimentos813151923273135394347515559[DIFERENÇA])</f>
        <v>-157537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0</v>
      </c>
      <c r="E12" s="8">
        <f>TabelaDeDespesasDePessoal1116182125293337414549535761[[#This Row],[REAL]]+(10^-6)*ROW(TabelaDeDespesasDePessoal1116182125293337414549535761[[#This Row],[REAL]])</f>
        <v>1.2E-5</v>
      </c>
      <c r="F12" s="5">
        <f>TabelaDeDespesasDePessoal1116182125293337414549535761[[#This Row],[ESTIMADO]]-TabelaDeDespesasDePessoal1116182125293337414549535761[[#This Row],[REAL]]</f>
        <v>480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0</v>
      </c>
      <c r="E13" s="8">
        <f>TabelaDeDespesasDePessoal1116182125293337414549535761[[#This Row],[REAL]]+(10^-6)*ROW(TabelaDeDespesasDePessoal1116182125293337414549535761[[#This Row],[REAL]])</f>
        <v>1.2999999999999999E-5</v>
      </c>
      <c r="F13" s="5">
        <f>TabelaDeDespesasDePessoal1116182125293337414549535761[[#This Row],[ESTIMADO]]-TabelaDeDespesasDePessoal1116182125293337414549535761[[#This Row],[REAL]]</f>
        <v>300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0</v>
      </c>
      <c r="E14" s="8">
        <f>TabelaDeDespesasDePessoal1116182125293337414549535761[[#This Row],[REAL]]+(10^-6)*ROW(TabelaDeDespesasDePessoal1116182125293337414549535761[[#This Row],[REAL]])</f>
        <v>1.4E-5</v>
      </c>
      <c r="F14" s="5">
        <f>TabelaDeDespesasDePessoal1116182125293337414549535761[[#This Row],[ESTIMADO]]-TabelaDeDespesasDePessoal1116182125293337414549535761[[#This Row],[REAL]]</f>
        <v>12500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0</v>
      </c>
      <c r="E15" s="8">
        <f>TabelaDeDespesasDePessoal1116182125293337414549535761[[#This Row],[REAL]]+(10^-6)*ROW(TabelaDeDespesasDePessoal1116182125293337414549535761[[#This Row],[REAL]])</f>
        <v>1.4999999999999999E-5</v>
      </c>
      <c r="F15" s="5">
        <f>TabelaDeDespesasDePessoal1116182125293337414549535761[[#This Row],[ESTIMADO]]-TabelaDeDespesasDePessoal1116182125293337414549535761[[#This Row],[REAL]]</f>
        <v>15000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SUBTOTAL(9,TabelaDeDespesasDePessoal1116182125293337414549535761[ESTIMADO])</f>
        <v>28280</v>
      </c>
      <c r="D16" s="12">
        <f>SUBTOTAL(9,TabelaDeDespesasDePessoal1116182125293337414549535761[REAL])</f>
        <v>0</v>
      </c>
      <c r="E16" s="12">
        <f>SUBTOTAL(9,TabelaDeDespesasDePessoal1116182125293337414549535761[5 Maiores Quantias])</f>
        <v>5.3999999999999998E-5</v>
      </c>
      <c r="F16" s="12">
        <f>SUBTOTAL(9,TabelaDeDespesasDePessoal1116182125293337414549535761[DIFERENÇA])</f>
        <v>28280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5">
        <v>0</v>
      </c>
      <c r="E19" s="8">
        <f>TabelaDeDespesasOperacionais712141722263034384246505458[[#This Row],[REAL]]+(10^-6)*ROW(TabelaDeDespesasOperacionais712141722263034384246505458[[#This Row],[REAL]])</f>
        <v>1.8999999999999998E-5</v>
      </c>
      <c r="F19" s="8">
        <f>TabelaDeDespesasOperacionais712141722263034384246505458[[#This Row],[ESTIMADO]]-TabelaDeDespesasOperacionais712141722263034384246505458[[#This Row],[REAL]]</f>
        <v>30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5">
        <v>0</v>
      </c>
      <c r="E20" s="8">
        <f>TabelaDeDespesasOperacionais712141722263034384246505458[[#This Row],[REAL]]+(10^-6)*ROW(TabelaDeDespesasOperacionais712141722263034384246505458[[#This Row],[REAL]])</f>
        <v>1.9999999999999998E-5</v>
      </c>
      <c r="F20" s="8">
        <f>TabelaDeDespesasOperacionais712141722263034384246505458[[#This Row],[ESTIMADO]]-TabelaDeDespesasOperacionais712141722263034384246505458[[#This Row],[REAL]]</f>
        <v>450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5">
        <v>0</v>
      </c>
      <c r="E21" s="8">
        <f>TabelaDeDespesasOperacionais712141722263034384246505458[[#This Row],[REAL]]+(10^-6)*ROW(TabelaDeDespesasOperacionais712141722263034384246505458[[#This Row],[REAL]])</f>
        <v>2.0999999999999999E-5</v>
      </c>
      <c r="F21" s="8">
        <f>TabelaDeDespesasOperacionais712141722263034384246505458[[#This Row],[ESTIMADO]]-TabelaDeDespesasOperacionais712141722263034384246505458[[#This Row],[REAL]]</f>
        <v>1200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5">
        <v>0</v>
      </c>
      <c r="E22" s="8">
        <f>TabelaDeDespesasOperacionais712141722263034384246505458[[#This Row],[REAL]]+(10^-6)*ROW(TabelaDeDespesasOperacionais712141722263034384246505458[[#This Row],[REAL]])</f>
        <v>2.1999999999999999E-5</v>
      </c>
      <c r="F22" s="8">
        <f>TabelaDeDespesasOperacionais712141722263034384246505458[[#This Row],[ESTIMADO]]-TabelaDeDespesasOperacionais712141722263034384246505458[[#This Row],[REAL]]</f>
        <v>2500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5">
        <v>0</v>
      </c>
      <c r="E23" s="8">
        <f>TabelaDeDespesasOperacionais712141722263034384246505458[[#This Row],[REAL]]+(10^-6)*ROW(TabelaDeDespesasOperacionais712141722263034384246505458[[#This Row],[REAL]])</f>
        <v>2.3E-5</v>
      </c>
      <c r="F23" s="8">
        <f>TabelaDeDespesasOperacionais712141722263034384246505458[[#This Row],[ESTIMADO]]-TabelaDeDespesasOperacionais712141722263034384246505458[[#This Row],[REAL]]</f>
        <v>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5">
        <v>0</v>
      </c>
      <c r="E24" s="8">
        <f>TabelaDeDespesasOperacionais712141722263034384246505458[[#This Row],[REAL]]+(10^-6)*ROW(TabelaDeDespesasOperacionais712141722263034384246505458[[#This Row],[REAL]])</f>
        <v>2.4000000000000001E-5</v>
      </c>
      <c r="F24" s="8">
        <f>TabelaDeDespesasOperacionais712141722263034384246505458[[#This Row],[ESTIMADO]]-TabelaDeDespesasOperacionais712141722263034384246505458[[#This Row],[REAL]]</f>
        <v>250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5">
        <v>0</v>
      </c>
      <c r="E25" s="8">
        <f>TabelaDeDespesasOperacionais712141722263034384246505458[[#This Row],[REAL]]+(10^-6)*ROW(TabelaDeDespesasOperacionais712141722263034384246505458[[#This Row],[REAL]])</f>
        <v>2.4999999999999998E-5</v>
      </c>
      <c r="F25" s="8">
        <f>TabelaDeDespesasOperacionais712141722263034384246505458[[#This Row],[ESTIMADO]]-TabelaDeDespesasOperacionais712141722263034384246505458[[#This Row],[REAL]]</f>
        <v>300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5">
        <v>0</v>
      </c>
      <c r="E26" s="8">
        <f>TabelaDeDespesasOperacionais712141722263034384246505458[[#This Row],[REAL]]+(10^-6)*ROW(TabelaDeDespesasOperacionais712141722263034384246505458[[#This Row],[REAL]])</f>
        <v>2.5999999999999998E-5</v>
      </c>
      <c r="F26" s="8">
        <f>TabelaDeDespesasOperacionais712141722263034384246505458[[#This Row],[ESTIMADO]]-TabelaDeDespesasOperacionais712141722263034384246505458[[#This Row],[REAL]]</f>
        <v>450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5">
        <v>0</v>
      </c>
      <c r="E27" s="8">
        <f>TabelaDeDespesasOperacionais712141722263034384246505458[[#This Row],[REAL]]+(10^-6)*ROW(TabelaDeDespesasOperacionais712141722263034384246505458[[#This Row],[REAL]])</f>
        <v>2.6999999999999999E-5</v>
      </c>
      <c r="F27" s="8">
        <f>TabelaDeDespesasOperacionais712141722263034384246505458[[#This Row],[ESTIMADO]]-TabelaDeDespesasOperacionais712141722263034384246505458[[#This Row],[REAL]]</f>
        <v>250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5">
        <v>0</v>
      </c>
      <c r="E28" s="8">
        <f>TabelaDeDespesasOperacionais712141722263034384246505458[[#This Row],[REAL]]+(10^-6)*ROW(TabelaDeDespesasOperacionais712141722263034384246505458[[#This Row],[REAL]])</f>
        <v>2.8E-5</v>
      </c>
      <c r="F28" s="8">
        <f>TabelaDeDespesasOperacionais712141722263034384246505458[[#This Row],[ESTIMADO]]-TabelaDeDespesasOperacionais712141722263034384246505458[[#This Row],[REAL]]</f>
        <v>150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5">
        <v>0</v>
      </c>
      <c r="E29" s="8">
        <f>TabelaDeDespesasOperacionais712141722263034384246505458[[#This Row],[REAL]]+(10^-6)*ROW(TabelaDeDespesasOperacionais712141722263034384246505458[[#This Row],[REAL]])</f>
        <v>2.9E-5</v>
      </c>
      <c r="F29" s="8">
        <f>TabelaDeDespesasOperacionais712141722263034384246505458[[#This Row],[ESTIMADO]]-TabelaDeDespesasOperacionais712141722263034384246505458[[#This Row],[REAL]]</f>
        <v>4500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5">
        <v>0</v>
      </c>
      <c r="E30" s="8">
        <f>TabelaDeDespesasOperacionais712141722263034384246505458[[#This Row],[REAL]]+(10^-6)*ROW(TabelaDeDespesasOperacionais712141722263034384246505458[[#This Row],[REAL]])</f>
        <v>2.9999999999999997E-5</v>
      </c>
      <c r="F30" s="8">
        <f>TabelaDeDespesasOperacionais712141722263034384246505458[[#This Row],[ESTIMADO]]-TabelaDeDespesasOperacionais712141722263034384246505458[[#This Row],[REAL]]</f>
        <v>1500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SUBTOTAL(9,TabelaDeDespesasOperacionais712141722263034384246505458[ESTIMADO])</f>
        <v>17580</v>
      </c>
      <c r="D31" s="12">
        <f>SUBTOTAL(9,TabelaDeDespesasOperacionais712141722263034384246505458[REAL])</f>
        <v>0</v>
      </c>
      <c r="E31" s="12">
        <f>SUBTOTAL(9,TabelaDeDespesasOperacionais712141722263034384246505458[5 Maiores Quantias])</f>
        <v>2.9399999999999999E-4</v>
      </c>
      <c r="F31" s="12">
        <f>SUBTOTAL(9,TabelaDeDespesasOperacionais712141722263034384246505458[DIFERENÇA])</f>
        <v>17580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tabColor theme="6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38</v>
      </c>
      <c r="G2" s="40"/>
      <c r="H2" s="23" t="s">
        <v>71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TabelaDeRendimentos81315192327[[#This Row],[ESTIMADO]]+TabelaDeRendimentos8131519232731[[#This Row],[ESTIMADO]]+TabelaDeRendimentos813151923273135[[#This Row],[ESTIMADO]]</f>
        <v>104700</v>
      </c>
      <c r="D5" s="5">
        <f>TabelaDeRendimentos81315192327[[#This Row],[REAL]]+TabelaDeRendimentos8131519232731[[#This Row],[REAL]]+TabelaDeRendimentos813151923273135[[#This Row],[REAL]]</f>
        <v>0</v>
      </c>
      <c r="E5" s="5">
        <f>TabelaDeRendimentos813156379[[#This Row],[REAL]]+(10^-6)*ROW(TabelaDeRendimentos813156379[[#This Row],[REAL]])</f>
        <v>4.9999999999999996E-6</v>
      </c>
      <c r="F5" s="5">
        <f>TabelaDeRendimentos813156379[[#This Row],[REAL]]-TabelaDeRendimentos813156379[[#This Row],[ESTIMADO]]</f>
        <v>-104700</v>
      </c>
      <c r="G5" s="3"/>
      <c r="H5" s="4" t="s">
        <v>6</v>
      </c>
      <c r="I5" s="5">
        <f>TabelaDeRendimentos813156379[[#Totals],[ESTIMADO]]</f>
        <v>472611</v>
      </c>
      <c r="J5" s="5">
        <f>TabelaDeRendimentos813156379[[#Totals],[REAL]]</f>
        <v>0</v>
      </c>
      <c r="K5" s="5">
        <f>TabelaDeTotais914166480[[#This Row],[REAL]]-TabelaDeTotais914166480[[#This Row],[ESTIMADO]]</f>
        <v>-472611</v>
      </c>
      <c r="L5" s="3"/>
    </row>
    <row r="6" spans="1:524" ht="16.5" customHeight="1" x14ac:dyDescent="0.25">
      <c r="A6" s="3"/>
      <c r="B6" s="7" t="s">
        <v>19</v>
      </c>
      <c r="C6" s="5">
        <f>TabelaDeRendimentos81315192327[[#This Row],[ESTIMADO]]+TabelaDeRendimentos8131519232731[[#This Row],[ESTIMADO]]+TabelaDeRendimentos813151923273135[[#This Row],[ESTIMADO]]</f>
        <v>167760.00000000003</v>
      </c>
      <c r="D6" s="5">
        <f>TabelaDeRendimentos81315192327[[#This Row],[REAL]]+TabelaDeRendimentos8131519232731[[#This Row],[REAL]]+TabelaDeRendimentos813151923273135[[#This Row],[REAL]]</f>
        <v>0</v>
      </c>
      <c r="E6" s="5">
        <f>TabelaDeRendimentos813156379[[#This Row],[REAL]]+(10^-6)*ROW(TabelaDeRendimentos813156379[[#This Row],[REAL]])</f>
        <v>6.0000000000000002E-6</v>
      </c>
      <c r="F6" s="5">
        <f>TabelaDeRendimentos813156379[[#This Row],[REAL]]-TabelaDeRendimentos813156379[[#This Row],[ESTIMADO]]</f>
        <v>-167760.00000000003</v>
      </c>
      <c r="G6" s="3"/>
      <c r="H6" s="4" t="s">
        <v>7</v>
      </c>
      <c r="I6" s="5">
        <f>TabelaDeDespesasOperacionais712146278[[#Totals],[ESTIMADO]]+TabelaDeDespesasDePessoal1116186581[[#Totals],[ESTIMADO]]</f>
        <v>137580</v>
      </c>
      <c r="J6" s="5">
        <f>TabelaDeDespesasOperacionais712146278[[#Totals],[REAL]]+TabelaDeDespesasDePessoal1116186581[[#Totals],[REAL]]</f>
        <v>0</v>
      </c>
      <c r="K6" s="5">
        <f>TabelaDeTotais914166480[[#This Row],[ESTIMADO]]-TabelaDeTotais914166480[[#This Row],[REAL]]</f>
        <v>137580</v>
      </c>
      <c r="L6" s="3"/>
    </row>
    <row r="7" spans="1:524" ht="16.5" customHeight="1" x14ac:dyDescent="0.25">
      <c r="A7" s="3"/>
      <c r="B7" s="7" t="s">
        <v>20</v>
      </c>
      <c r="C7" s="5">
        <f>TabelaDeRendimentos81315192327[[#This Row],[ESTIMADO]]+TabelaDeRendimentos8131519232731[[#This Row],[ESTIMADO]]+TabelaDeRendimentos813151923273135[[#This Row],[ESTIMADO]]</f>
        <v>78525</v>
      </c>
      <c r="D7" s="5">
        <f>TabelaDeRendimentos81315192327[[#This Row],[REAL]]+TabelaDeRendimentos8131519232731[[#This Row],[REAL]]+TabelaDeRendimentos813151923273135[[#This Row],[REAL]]</f>
        <v>0</v>
      </c>
      <c r="E7" s="5">
        <f>TabelaDeRendimentos813156379[[#This Row],[REAL]]+(10^-6)*ROW(TabelaDeRendimentos813156379[[#This Row],[REAL]])</f>
        <v>6.9999999999999999E-6</v>
      </c>
      <c r="F7" s="5">
        <f>TabelaDeRendimentos813156379[[#This Row],[REAL]]-TabelaDeRendimentos813156379[[#This Row],[ESTIMADO]]</f>
        <v>-78525</v>
      </c>
      <c r="G7" s="3"/>
      <c r="H7" s="14" t="s">
        <v>8</v>
      </c>
      <c r="I7" s="15">
        <f>I5-I6</f>
        <v>335031</v>
      </c>
      <c r="J7" s="15">
        <f>J5-J6</f>
        <v>0</v>
      </c>
      <c r="K7" s="15">
        <f>TabelaDeTotais914166480[[#Totals],[REAL]]-TabelaDeTotais914166480[[#Totals],[ESTIMADO]]</f>
        <v>-335031</v>
      </c>
      <c r="L7" s="3"/>
    </row>
    <row r="8" spans="1:524" ht="16.5" customHeight="1" x14ac:dyDescent="0.25">
      <c r="A8" s="3"/>
      <c r="B8" s="7" t="s">
        <v>21</v>
      </c>
      <c r="C8" s="5">
        <f>TabelaDeRendimentos81315192327[[#This Row],[ESTIMADO]]+TabelaDeRendimentos8131519232731[[#This Row],[ESTIMADO]]+TabelaDeRendimentos813151923273135[[#This Row],[ESTIMADO]]</f>
        <v>121626</v>
      </c>
      <c r="D8" s="5">
        <f>TabelaDeRendimentos81315192327[[#This Row],[REAL]]+TabelaDeRendimentos8131519232731[[#This Row],[REAL]]+TabelaDeRendimentos813151923273135[[#This Row],[REAL]]</f>
        <v>0</v>
      </c>
      <c r="E8" s="5">
        <f>TabelaDeRendimentos813156379[[#This Row],[REAL]]+(10^-6)*ROW(TabelaDeRendimentos813156379[[#This Row],[REAL]])</f>
        <v>7.9999999999999996E-6</v>
      </c>
      <c r="F8" s="9">
        <f>TabelaDeRendimentos813156379[[#This Row],[REAL]]-TabelaDeRendimentos813156379[[#This Row],[ESTIMADO]]</f>
        <v>-121626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SUBTOTAL(9,TabelaDeRendimentos813156379[ESTIMADO])</f>
        <v>472611</v>
      </c>
      <c r="D9" s="13">
        <f>SUBTOTAL(9,TabelaDeRendimentos813156379[REAL])</f>
        <v>0</v>
      </c>
      <c r="E9" s="13">
        <f>SUBTOTAL(9,TabelaDeRendimentos813156379[5 Maiores Quantias])</f>
        <v>2.6000000000000002E-5</v>
      </c>
      <c r="F9" s="13">
        <f>SUBTOTAL(9,TabelaDeRendimentos813156379[DIFERENÇA])</f>
        <v>-472611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TabelaDeDespesasDePessoal111618212529[[#This Row],[ESTIMADO]]+TabelaDeDespesasDePessoal11161821252933[[#This Row],[ESTIMADO]]+TabelaDeDespesasDePessoal1116182125293337[[#This Row],[ESTIMADO]]</f>
        <v>1440</v>
      </c>
      <c r="D12" s="5">
        <f>TabelaDeDespesasDePessoal111618212529[[#This Row],[REAL]]+TabelaDeDespesasDePessoal11161821252933[[#This Row],[REAL]]+TabelaDeDespesasDePessoal1116182125293337[[#This Row],[REAL]]</f>
        <v>0</v>
      </c>
      <c r="E12" s="8">
        <f>TabelaDeDespesasDePessoal1116186581[[#This Row],[REAL]]+(10^-6)*ROW(TabelaDeDespesasDePessoal1116186581[[#This Row],[REAL]])</f>
        <v>1.2E-5</v>
      </c>
      <c r="F12" s="5">
        <f>TabelaDeDespesasDePessoal1116186581[[#This Row],[ESTIMADO]]-TabelaDeDespesasDePessoal1116186581[[#This Row],[REAL]]</f>
        <v>1440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TabelaDeDespesasDePessoal111618212529[[#This Row],[ESTIMADO]]+TabelaDeDespesasDePessoal11161821252933[[#This Row],[ESTIMADO]]+TabelaDeDespesasDePessoal1116182125293337[[#This Row],[ESTIMADO]]</f>
        <v>900</v>
      </c>
      <c r="D13" s="5">
        <f>TabelaDeDespesasDePessoal111618212529[[#This Row],[REAL]]+TabelaDeDespesasDePessoal11161821252933[[#This Row],[REAL]]+TabelaDeDespesasDePessoal1116182125293337[[#This Row],[REAL]]</f>
        <v>0</v>
      </c>
      <c r="E13" s="8">
        <f>TabelaDeDespesasDePessoal1116186581[[#This Row],[REAL]]+(10^-6)*ROW(TabelaDeDespesasDePessoal1116186581[[#This Row],[REAL]])</f>
        <v>1.2999999999999999E-5</v>
      </c>
      <c r="F13" s="5">
        <f>TabelaDeDespesasDePessoal1116186581[[#This Row],[ESTIMADO]]-TabelaDeDespesasDePessoal1116186581[[#This Row],[REAL]]</f>
        <v>900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TabelaDeDespesasDePessoal111618212529[[#This Row],[ESTIMADO]]+TabelaDeDespesasDePessoal11161821252933[[#This Row],[ESTIMADO]]+TabelaDeDespesasDePessoal1116182125293337[[#This Row],[ESTIMADO]]</f>
        <v>37500</v>
      </c>
      <c r="D14" s="5">
        <f>TabelaDeDespesasDePessoal111618212529[[#This Row],[REAL]]+TabelaDeDespesasDePessoal11161821252933[[#This Row],[REAL]]+TabelaDeDespesasDePessoal1116182125293337[[#This Row],[REAL]]</f>
        <v>0</v>
      </c>
      <c r="E14" s="8">
        <f>TabelaDeDespesasDePessoal1116186581[[#This Row],[REAL]]+(10^-6)*ROW(TabelaDeDespesasDePessoal1116186581[[#This Row],[REAL]])</f>
        <v>1.4E-5</v>
      </c>
      <c r="F14" s="5">
        <f>TabelaDeDespesasDePessoal1116186581[[#This Row],[ESTIMADO]]-TabelaDeDespesasDePessoal1116186581[[#This Row],[REAL]]</f>
        <v>37500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TabelaDeDespesasDePessoal111618212529[[#This Row],[ESTIMADO]]+TabelaDeDespesasDePessoal11161821252933[[#This Row],[ESTIMADO]]+TabelaDeDespesasDePessoal1116182125293337[[#This Row],[ESTIMADO]]</f>
        <v>45000</v>
      </c>
      <c r="D15" s="5">
        <f>TabelaDeDespesasDePessoal111618212529[[#This Row],[REAL]]+TabelaDeDespesasDePessoal11161821252933[[#This Row],[REAL]]+TabelaDeDespesasDePessoal1116182125293337[[#This Row],[REAL]]</f>
        <v>0</v>
      </c>
      <c r="E15" s="8">
        <f>TabelaDeDespesasDePessoal1116186581[[#This Row],[REAL]]+(10^-6)*ROW(TabelaDeDespesasDePessoal1116186581[[#This Row],[REAL]])</f>
        <v>1.4999999999999999E-5</v>
      </c>
      <c r="F15" s="5">
        <f>TabelaDeDespesasDePessoal1116186581[[#This Row],[ESTIMADO]]-TabelaDeDespesasDePessoal1116186581[[#This Row],[REAL]]</f>
        <v>45000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SUBTOTAL(9,TabelaDeDespesasDePessoal1116186581[ESTIMADO])</f>
        <v>84840</v>
      </c>
      <c r="D16" s="12">
        <f>SUBTOTAL(9,TabelaDeDespesasDePessoal1116186581[REAL])</f>
        <v>0</v>
      </c>
      <c r="E16" s="12">
        <f>SUBTOTAL(9,TabelaDeDespesasDePessoal1116186581[5 Maiores Quantias])</f>
        <v>5.3999999999999998E-5</v>
      </c>
      <c r="F16" s="12">
        <f>SUBTOTAL(9,TabelaDeDespesasDePessoal1116186581[DIFERENÇA])</f>
        <v>84840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TabelaDeDespesasOperacionais71214172226[[#This Row],[ESTIMADO]]+TabelaDeDespesasOperacionais7121417222630[[#This Row],[ESTIMADO]]+TabelaDeDespesasOperacionais712141722263034[[#This Row],[ESTIMADO]]</f>
        <v>90</v>
      </c>
      <c r="D19" s="8">
        <f>TabelaDeDespesasOperacionais71214172226[[#This Row],[REAL]]+TabelaDeDespesasOperacionais7121417222630[[#This Row],[REAL]]+TabelaDeDespesasOperacionais712141722263034[[#This Row],[REAL]]</f>
        <v>0</v>
      </c>
      <c r="E19" s="8">
        <f>TabelaDeDespesasOperacionais712146278[[#This Row],[REAL]]+(10^-6)*ROW(TabelaDeDespesasOperacionais712146278[[#This Row],[REAL]])</f>
        <v>1.8999999999999998E-5</v>
      </c>
      <c r="F19" s="8">
        <f>TabelaDeDespesasOperacionais712146278[[#This Row],[ESTIMADO]]-TabelaDeDespesasOperacionais712146278[[#This Row],[REAL]]</f>
        <v>90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TabelaDeDespesasOperacionais71214172226[[#This Row],[ESTIMADO]]+TabelaDeDespesasOperacionais7121417222630[[#This Row],[ESTIMADO]]+TabelaDeDespesasOperacionais712141722263034[[#This Row],[ESTIMADO]]</f>
        <v>1350</v>
      </c>
      <c r="D20" s="8">
        <f>TabelaDeDespesasOperacionais71214172226[[#This Row],[REAL]]+TabelaDeDespesasOperacionais7121417222630[[#This Row],[REAL]]+TabelaDeDespesasOperacionais712141722263034[[#This Row],[REAL]]</f>
        <v>0</v>
      </c>
      <c r="E20" s="8">
        <f>TabelaDeDespesasOperacionais712146278[[#This Row],[REAL]]+(10^-6)*ROW(TabelaDeDespesasOperacionais712146278[[#This Row],[REAL]])</f>
        <v>1.9999999999999998E-5</v>
      </c>
      <c r="F20" s="8">
        <f>TabelaDeDespesasOperacionais712146278[[#This Row],[ESTIMADO]]-TabelaDeDespesasOperacionais712146278[[#This Row],[REAL]]</f>
        <v>1350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TabelaDeDespesasOperacionais71214172226[[#This Row],[ESTIMADO]]+TabelaDeDespesasOperacionais7121417222630[[#This Row],[ESTIMADO]]+TabelaDeDespesasOperacionais712141722263034[[#This Row],[ESTIMADO]]</f>
        <v>3600</v>
      </c>
      <c r="D21" s="8">
        <f>TabelaDeDespesasOperacionais71214172226[[#This Row],[REAL]]+TabelaDeDespesasOperacionais7121417222630[[#This Row],[REAL]]+TabelaDeDespesasOperacionais712141722263034[[#This Row],[REAL]]</f>
        <v>0</v>
      </c>
      <c r="E21" s="8">
        <f>TabelaDeDespesasOperacionais712146278[[#This Row],[REAL]]+(10^-6)*ROW(TabelaDeDespesasOperacionais712146278[[#This Row],[REAL]])</f>
        <v>2.0999999999999999E-5</v>
      </c>
      <c r="F21" s="8">
        <f>TabelaDeDespesasOperacionais712146278[[#This Row],[ESTIMADO]]-TabelaDeDespesasOperacionais712146278[[#This Row],[REAL]]</f>
        <v>3600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TabelaDeDespesasOperacionais71214172226[[#This Row],[ESTIMADO]]+TabelaDeDespesasOperacionais7121417222630[[#This Row],[ESTIMADO]]+TabelaDeDespesasOperacionais712141722263034[[#This Row],[ESTIMADO]]</f>
        <v>7500</v>
      </c>
      <c r="D22" s="8">
        <f>TabelaDeDespesasOperacionais71214172226[[#This Row],[REAL]]+TabelaDeDespesasOperacionais7121417222630[[#This Row],[REAL]]+TabelaDeDespesasOperacionais712141722263034[[#This Row],[REAL]]</f>
        <v>0</v>
      </c>
      <c r="E22" s="8">
        <f>TabelaDeDespesasOperacionais712146278[[#This Row],[REAL]]+(10^-6)*ROW(TabelaDeDespesasOperacionais712146278[[#This Row],[REAL]])</f>
        <v>2.1999999999999999E-5</v>
      </c>
      <c r="F22" s="8">
        <f>TabelaDeDespesasOperacionais712146278[[#This Row],[ESTIMADO]]-TabelaDeDespesasOperacionais712146278[[#This Row],[REAL]]</f>
        <v>7500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TabelaDeDespesasOperacionais71214172226[[#This Row],[ESTIMADO]]+TabelaDeDespesasOperacionais7121417222630[[#This Row],[ESTIMADO]]+TabelaDeDespesasOperacionais712141722263034[[#This Row],[ESTIMADO]]</f>
        <v>18000</v>
      </c>
      <c r="D23" s="8">
        <f>TabelaDeDespesasOperacionais71214172226[[#This Row],[REAL]]+TabelaDeDespesasOperacionais7121417222630[[#This Row],[REAL]]+TabelaDeDespesasOperacionais712141722263034[[#This Row],[REAL]]</f>
        <v>0</v>
      </c>
      <c r="E23" s="8">
        <f>TabelaDeDespesasOperacionais712146278[[#This Row],[REAL]]+(10^-6)*ROW(TabelaDeDespesasOperacionais712146278[[#This Row],[REAL]])</f>
        <v>2.3E-5</v>
      </c>
      <c r="F23" s="8">
        <f>TabelaDeDespesasOperacionais712146278[[#This Row],[ESTIMADO]]-TabelaDeDespesasOperacionais712146278[[#This Row],[REAL]]</f>
        <v>18000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TabelaDeDespesasOperacionais71214172226[[#This Row],[ESTIMADO]]+TabelaDeDespesasOperacionais7121417222630[[#This Row],[ESTIMADO]]+TabelaDeDespesasOperacionais712141722263034[[#This Row],[ESTIMADO]]</f>
        <v>750</v>
      </c>
      <c r="D24" s="8">
        <f>TabelaDeDespesasOperacionais71214172226[[#This Row],[REAL]]+TabelaDeDespesasOperacionais7121417222630[[#This Row],[REAL]]+TabelaDeDespesasOperacionais712141722263034[[#This Row],[REAL]]</f>
        <v>0</v>
      </c>
      <c r="E24" s="8">
        <f>TabelaDeDespesasOperacionais712146278[[#This Row],[REAL]]+(10^-6)*ROW(TabelaDeDespesasOperacionais712146278[[#This Row],[REAL]])</f>
        <v>2.4000000000000001E-5</v>
      </c>
      <c r="F24" s="8">
        <f>TabelaDeDespesasOperacionais712146278[[#This Row],[ESTIMADO]]-TabelaDeDespesasOperacionais712146278[[#This Row],[REAL]]</f>
        <v>750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TabelaDeDespesasOperacionais71214172226[[#This Row],[ESTIMADO]]+TabelaDeDespesasOperacionais7121417222630[[#This Row],[ESTIMADO]]+TabelaDeDespesasOperacionais712141722263034[[#This Row],[ESTIMADO]]</f>
        <v>900</v>
      </c>
      <c r="D25" s="8">
        <f>TabelaDeDespesasOperacionais71214172226[[#This Row],[REAL]]+TabelaDeDespesasOperacionais7121417222630[[#This Row],[REAL]]+TabelaDeDespesasOperacionais712141722263034[[#This Row],[REAL]]</f>
        <v>0</v>
      </c>
      <c r="E25" s="8">
        <f>TabelaDeDespesasOperacionais712146278[[#This Row],[REAL]]+(10^-6)*ROW(TabelaDeDespesasOperacionais712146278[[#This Row],[REAL]])</f>
        <v>2.4999999999999998E-5</v>
      </c>
      <c r="F25" s="8">
        <f>TabelaDeDespesasOperacionais712146278[[#This Row],[ESTIMADO]]-TabelaDeDespesasOperacionais712146278[[#This Row],[REAL]]</f>
        <v>900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TabelaDeDespesasOperacionais71214172226[[#This Row],[ESTIMADO]]+TabelaDeDespesasOperacionais7121417222630[[#This Row],[ESTIMADO]]+TabelaDeDespesasOperacionais712141722263034[[#This Row],[ESTIMADO]]</f>
        <v>1350</v>
      </c>
      <c r="D26" s="8">
        <f>TabelaDeDespesasOperacionais71214172226[[#This Row],[REAL]]+TabelaDeDespesasOperacionais7121417222630[[#This Row],[REAL]]+TabelaDeDespesasOperacionais712141722263034[[#This Row],[REAL]]</f>
        <v>0</v>
      </c>
      <c r="E26" s="8">
        <f>TabelaDeDespesasOperacionais712146278[[#This Row],[REAL]]+(10^-6)*ROW(TabelaDeDespesasOperacionais712146278[[#This Row],[REAL]])</f>
        <v>2.5999999999999998E-5</v>
      </c>
      <c r="F26" s="8">
        <f>TabelaDeDespesasOperacionais712146278[[#This Row],[ESTIMADO]]-TabelaDeDespesasOperacionais712146278[[#This Row],[REAL]]</f>
        <v>1350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TabelaDeDespesasOperacionais71214172226[[#This Row],[ESTIMADO]]+TabelaDeDespesasOperacionais7121417222630[[#This Row],[ESTIMADO]]+TabelaDeDespesasOperacionais712141722263034[[#This Row],[ESTIMADO]]</f>
        <v>750</v>
      </c>
      <c r="D27" s="8">
        <f>TabelaDeDespesasOperacionais71214172226[[#This Row],[REAL]]+TabelaDeDespesasOperacionais7121417222630[[#This Row],[REAL]]+TabelaDeDespesasOperacionais712141722263034[[#This Row],[REAL]]</f>
        <v>0</v>
      </c>
      <c r="E27" s="8">
        <f>TabelaDeDespesasOperacionais712146278[[#This Row],[REAL]]+(10^-6)*ROW(TabelaDeDespesasOperacionais712146278[[#This Row],[REAL]])</f>
        <v>2.6999999999999999E-5</v>
      </c>
      <c r="F27" s="8">
        <f>TabelaDeDespesasOperacionais712146278[[#This Row],[ESTIMADO]]-TabelaDeDespesasOperacionais712146278[[#This Row],[REAL]]</f>
        <v>750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TabelaDeDespesasOperacionais71214172226[[#This Row],[ESTIMADO]]+TabelaDeDespesasOperacionais7121417222630[[#This Row],[ESTIMADO]]+TabelaDeDespesasOperacionais712141722263034[[#This Row],[ESTIMADO]]</f>
        <v>450</v>
      </c>
      <c r="D28" s="8">
        <f>TabelaDeDespesasOperacionais71214172226[[#This Row],[REAL]]+TabelaDeDespesasOperacionais7121417222630[[#This Row],[REAL]]+TabelaDeDespesasOperacionais712141722263034[[#This Row],[REAL]]</f>
        <v>0</v>
      </c>
      <c r="E28" s="8">
        <f>TabelaDeDespesasOperacionais712146278[[#This Row],[REAL]]+(10^-6)*ROW(TabelaDeDespesasOperacionais712146278[[#This Row],[REAL]])</f>
        <v>2.8E-5</v>
      </c>
      <c r="F28" s="8">
        <f>TabelaDeDespesasOperacionais712146278[[#This Row],[ESTIMADO]]-TabelaDeDespesasOperacionais712146278[[#This Row],[REAL]]</f>
        <v>450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TabelaDeDespesasOperacionais71214172226[[#This Row],[ESTIMADO]]+TabelaDeDespesasOperacionais7121417222630[[#This Row],[ESTIMADO]]+TabelaDeDespesasOperacionais712141722263034[[#This Row],[ESTIMADO]]</f>
        <v>13500</v>
      </c>
      <c r="D29" s="8">
        <f>TabelaDeDespesasOperacionais71214172226[[#This Row],[REAL]]+TabelaDeDespesasOperacionais7121417222630[[#This Row],[REAL]]+TabelaDeDespesasOperacionais712141722263034[[#This Row],[REAL]]</f>
        <v>0</v>
      </c>
      <c r="E29" s="8">
        <f>TabelaDeDespesasOperacionais712146278[[#This Row],[REAL]]+(10^-6)*ROW(TabelaDeDespesasOperacionais712146278[[#This Row],[REAL]])</f>
        <v>2.9E-5</v>
      </c>
      <c r="F29" s="8">
        <f>TabelaDeDespesasOperacionais712146278[[#This Row],[ESTIMADO]]-TabelaDeDespesasOperacionais712146278[[#This Row],[REAL]]</f>
        <v>13500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TabelaDeDespesasOperacionais71214172226[[#This Row],[ESTIMADO]]+TabelaDeDespesasOperacionais7121417222630[[#This Row],[ESTIMADO]]+TabelaDeDespesasOperacionais712141722263034[[#This Row],[ESTIMADO]]</f>
        <v>4500</v>
      </c>
      <c r="D30" s="8">
        <f>TabelaDeDespesasOperacionais71214172226[[#This Row],[REAL]]+TabelaDeDespesasOperacionais7121417222630[[#This Row],[REAL]]+TabelaDeDespesasOperacionais712141722263034[[#This Row],[REAL]]</f>
        <v>0</v>
      </c>
      <c r="E30" s="8">
        <f>TabelaDeDespesasOperacionais712146278[[#This Row],[REAL]]+(10^-6)*ROW(TabelaDeDespesasOperacionais712146278[[#This Row],[REAL]])</f>
        <v>2.9999999999999997E-5</v>
      </c>
      <c r="F30" s="8">
        <f>TabelaDeDespesasOperacionais712146278[[#This Row],[ESTIMADO]]-TabelaDeDespesasOperacionais712146278[[#This Row],[REAL]]</f>
        <v>4500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SUBTOTAL(9,TabelaDeDespesasOperacionais712146278[ESTIMADO])</f>
        <v>52740</v>
      </c>
      <c r="D31" s="12">
        <f>SUBTOTAL(9,TabelaDeDespesasOperacionais712146278[REAL])</f>
        <v>0</v>
      </c>
      <c r="E31" s="12">
        <f>SUBTOTAL(9,TabelaDeDespesasOperacionais712146278[5 Maiores Quantias])</f>
        <v>2.9399999999999999E-4</v>
      </c>
      <c r="F31" s="12">
        <f>SUBTOTAL(9,TabelaDeDespesasOperacionais712146278[DIFERENÇA])</f>
        <v>52740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>
    <tabColor theme="6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39</v>
      </c>
      <c r="G2" s="40"/>
      <c r="H2" s="23" t="s">
        <v>71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TabelaDeRendimentos81315192327313539[[#This Row],[ESTIMADO]]+TabelaDeRendimentos8131519232731353943[[#This Row],[ESTIMADO]]+TabelaDeRendimentos813151923273135394347[[#This Row],[ESTIMADO]]</f>
        <v>104700</v>
      </c>
      <c r="D5" s="5">
        <f>TabelaDeRendimentos81315192327313539[[#This Row],[REAL]]+TabelaDeRendimentos8131519232731353943[[#This Row],[REAL]]+TabelaDeRendimentos813151923273135394347[[#This Row],[REAL]]</f>
        <v>0</v>
      </c>
      <c r="E5" s="5">
        <f>TabelaDeRendimentos81315637983[[#This Row],[REAL]]+(10^-6)*ROW(TabelaDeRendimentos81315637983[[#This Row],[REAL]])</f>
        <v>4.9999999999999996E-6</v>
      </c>
      <c r="F5" s="5">
        <f>TabelaDeRendimentos81315637983[[#This Row],[REAL]]-TabelaDeRendimentos81315637983[[#This Row],[ESTIMADO]]</f>
        <v>-104700</v>
      </c>
      <c r="G5" s="3"/>
      <c r="H5" s="4" t="s">
        <v>6</v>
      </c>
      <c r="I5" s="5">
        <f>TabelaDeRendimentos81315637983[[#Totals],[ESTIMADO]]</f>
        <v>472611</v>
      </c>
      <c r="J5" s="5">
        <f>TabelaDeRendimentos81315637983[[#Totals],[REAL]]</f>
        <v>0</v>
      </c>
      <c r="K5" s="5">
        <f>TabelaDeTotais91416648084[[#This Row],[REAL]]-TabelaDeTotais91416648084[[#This Row],[ESTIMADO]]</f>
        <v>-472611</v>
      </c>
      <c r="L5" s="3"/>
    </row>
    <row r="6" spans="1:524" ht="16.5" customHeight="1" x14ac:dyDescent="0.25">
      <c r="A6" s="3"/>
      <c r="B6" s="7" t="s">
        <v>19</v>
      </c>
      <c r="C6" s="5">
        <f>TabelaDeRendimentos81315192327313539[[#This Row],[ESTIMADO]]+TabelaDeRendimentos8131519232731353943[[#This Row],[ESTIMADO]]+TabelaDeRendimentos813151923273135394347[[#This Row],[ESTIMADO]]</f>
        <v>167760.00000000003</v>
      </c>
      <c r="D6" s="5">
        <f>TabelaDeRendimentos81315192327313539[[#This Row],[REAL]]+TabelaDeRendimentos8131519232731353943[[#This Row],[REAL]]+TabelaDeRendimentos813151923273135394347[[#This Row],[REAL]]</f>
        <v>0</v>
      </c>
      <c r="E6" s="5">
        <f>TabelaDeRendimentos81315637983[[#This Row],[REAL]]+(10^-6)*ROW(TabelaDeRendimentos81315637983[[#This Row],[REAL]])</f>
        <v>6.0000000000000002E-6</v>
      </c>
      <c r="F6" s="5">
        <f>TabelaDeRendimentos81315637983[[#This Row],[REAL]]-TabelaDeRendimentos81315637983[[#This Row],[ESTIMADO]]</f>
        <v>-167760.00000000003</v>
      </c>
      <c r="G6" s="3"/>
      <c r="H6" s="4" t="s">
        <v>7</v>
      </c>
      <c r="I6" s="5">
        <f>TabelaDeDespesasOperacionais71214627882[[#Totals],[ESTIMADO]]+TabelaDeDespesasDePessoal111618658185[[#Totals],[ESTIMADO]]</f>
        <v>137580</v>
      </c>
      <c r="J6" s="5">
        <f>TabelaDeDespesasOperacionais71214627882[[#Totals],[REAL]]+TabelaDeDespesasDePessoal111618658185[[#Totals],[REAL]]</f>
        <v>0</v>
      </c>
      <c r="K6" s="5">
        <f>TabelaDeTotais91416648084[[#This Row],[ESTIMADO]]-TabelaDeTotais91416648084[[#This Row],[REAL]]</f>
        <v>137580</v>
      </c>
      <c r="L6" s="3"/>
    </row>
    <row r="7" spans="1:524" ht="16.5" customHeight="1" x14ac:dyDescent="0.25">
      <c r="A7" s="3"/>
      <c r="B7" s="7" t="s">
        <v>20</v>
      </c>
      <c r="C7" s="5">
        <f>TabelaDeRendimentos81315192327313539[[#This Row],[ESTIMADO]]+TabelaDeRendimentos8131519232731353943[[#This Row],[ESTIMADO]]+TabelaDeRendimentos813151923273135394347[[#This Row],[ESTIMADO]]</f>
        <v>78525</v>
      </c>
      <c r="D7" s="5">
        <f>TabelaDeRendimentos81315192327313539[[#This Row],[REAL]]+TabelaDeRendimentos8131519232731353943[[#This Row],[REAL]]+TabelaDeRendimentos813151923273135394347[[#This Row],[REAL]]</f>
        <v>0</v>
      </c>
      <c r="E7" s="5">
        <f>TabelaDeRendimentos81315637983[[#This Row],[REAL]]+(10^-6)*ROW(TabelaDeRendimentos81315637983[[#This Row],[REAL]])</f>
        <v>6.9999999999999999E-6</v>
      </c>
      <c r="F7" s="5">
        <f>TabelaDeRendimentos81315637983[[#This Row],[REAL]]-TabelaDeRendimentos81315637983[[#This Row],[ESTIMADO]]</f>
        <v>-78525</v>
      </c>
      <c r="G7" s="3"/>
      <c r="H7" s="14" t="s">
        <v>8</v>
      </c>
      <c r="I7" s="15">
        <f>I5-I6</f>
        <v>335031</v>
      </c>
      <c r="J7" s="15">
        <f>J5-J6</f>
        <v>0</v>
      </c>
      <c r="K7" s="15">
        <f>TabelaDeTotais91416648084[[#Totals],[REAL]]-TabelaDeTotais91416648084[[#Totals],[ESTIMADO]]</f>
        <v>-335031</v>
      </c>
      <c r="L7" s="3"/>
    </row>
    <row r="8" spans="1:524" ht="16.5" customHeight="1" x14ac:dyDescent="0.25">
      <c r="A8" s="3"/>
      <c r="B8" s="7" t="s">
        <v>21</v>
      </c>
      <c r="C8" s="5">
        <f>TabelaDeRendimentos81315192327313539[[#This Row],[ESTIMADO]]+TabelaDeRendimentos8131519232731353943[[#This Row],[ESTIMADO]]+TabelaDeRendimentos813151923273135394347[[#This Row],[ESTIMADO]]</f>
        <v>121626</v>
      </c>
      <c r="D8" s="5">
        <f>TabelaDeRendimentos81315192327313539[[#This Row],[REAL]]+TabelaDeRendimentos8131519232731353943[[#This Row],[REAL]]+TabelaDeRendimentos813151923273135394347[[#This Row],[REAL]]</f>
        <v>0</v>
      </c>
      <c r="E8" s="5">
        <f>TabelaDeRendimentos81315637983[[#This Row],[REAL]]+(10^-6)*ROW(TabelaDeRendimentos81315637983[[#This Row],[REAL]])</f>
        <v>7.9999999999999996E-6</v>
      </c>
      <c r="F8" s="9">
        <f>TabelaDeRendimentos81315637983[[#This Row],[REAL]]-TabelaDeRendimentos81315637983[[#This Row],[ESTIMADO]]</f>
        <v>-121626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SUBTOTAL(9,TabelaDeRendimentos81315637983[ESTIMADO])</f>
        <v>472611</v>
      </c>
      <c r="D9" s="13">
        <f>SUBTOTAL(9,TabelaDeRendimentos81315637983[REAL])</f>
        <v>0</v>
      </c>
      <c r="E9" s="13">
        <f>SUBTOTAL(9,TabelaDeRendimentos81315637983[5 Maiores Quantias])</f>
        <v>2.6000000000000002E-5</v>
      </c>
      <c r="F9" s="13">
        <f>SUBTOTAL(9,TabelaDeRendimentos81315637983[DIFERENÇA])</f>
        <v>-472611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TabelaDeDespesasDePessoal111618212529333741[[#This Row],[ESTIMADO]]+TabelaDeDespesasDePessoal11161821252933374145[[#This Row],[ESTIMADO]]+TabelaDeDespesasDePessoal1116182125293337414549[[#This Row],[ESTIMADO]]</f>
        <v>1440</v>
      </c>
      <c r="D12" s="5">
        <f>TabelaDeDespesasDePessoal111618212529333741[[#This Row],[REAL]]+TabelaDeDespesasDePessoal11161821252933374145[[#This Row],[REAL]]+TabelaDeDespesasDePessoal1116182125293337414549[[#This Row],[REAL]]</f>
        <v>0</v>
      </c>
      <c r="E12" s="8">
        <f>TabelaDeDespesasDePessoal111618658185[[#This Row],[REAL]]+(10^-6)*ROW(TabelaDeDespesasDePessoal111618658185[[#This Row],[REAL]])</f>
        <v>1.2E-5</v>
      </c>
      <c r="F12" s="5">
        <f>TabelaDeDespesasDePessoal111618658185[[#This Row],[ESTIMADO]]-TabelaDeDespesasDePessoal111618658185[[#This Row],[REAL]]</f>
        <v>1440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TabelaDeDespesasDePessoal111618212529333741[[#This Row],[ESTIMADO]]+TabelaDeDespesasDePessoal11161821252933374145[[#This Row],[ESTIMADO]]+TabelaDeDespesasDePessoal1116182125293337414549[[#This Row],[ESTIMADO]]</f>
        <v>900</v>
      </c>
      <c r="D13" s="5">
        <f>TabelaDeDespesasDePessoal111618212529333741[[#This Row],[REAL]]+TabelaDeDespesasDePessoal11161821252933374145[[#This Row],[REAL]]+TabelaDeDespesasDePessoal1116182125293337414549[[#This Row],[REAL]]</f>
        <v>0</v>
      </c>
      <c r="E13" s="8">
        <f>TabelaDeDespesasDePessoal111618658185[[#This Row],[REAL]]+(10^-6)*ROW(TabelaDeDespesasDePessoal111618658185[[#This Row],[REAL]])</f>
        <v>1.2999999999999999E-5</v>
      </c>
      <c r="F13" s="5">
        <f>TabelaDeDespesasDePessoal111618658185[[#This Row],[ESTIMADO]]-TabelaDeDespesasDePessoal111618658185[[#This Row],[REAL]]</f>
        <v>900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TabelaDeDespesasDePessoal111618212529333741[[#This Row],[ESTIMADO]]+TabelaDeDespesasDePessoal11161821252933374145[[#This Row],[ESTIMADO]]+TabelaDeDespesasDePessoal1116182125293337414549[[#This Row],[ESTIMADO]]</f>
        <v>37500</v>
      </c>
      <c r="D14" s="5">
        <f>TabelaDeDespesasDePessoal111618212529333741[[#This Row],[REAL]]+TabelaDeDespesasDePessoal11161821252933374145[[#This Row],[REAL]]+TabelaDeDespesasDePessoal1116182125293337414549[[#This Row],[REAL]]</f>
        <v>0</v>
      </c>
      <c r="E14" s="8">
        <f>TabelaDeDespesasDePessoal111618658185[[#This Row],[REAL]]+(10^-6)*ROW(TabelaDeDespesasDePessoal111618658185[[#This Row],[REAL]])</f>
        <v>1.4E-5</v>
      </c>
      <c r="F14" s="5">
        <f>TabelaDeDespesasDePessoal111618658185[[#This Row],[ESTIMADO]]-TabelaDeDespesasDePessoal111618658185[[#This Row],[REAL]]</f>
        <v>37500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TabelaDeDespesasDePessoal111618212529333741[[#This Row],[ESTIMADO]]+TabelaDeDespesasDePessoal11161821252933374145[[#This Row],[ESTIMADO]]+TabelaDeDespesasDePessoal1116182125293337414549[[#This Row],[ESTIMADO]]</f>
        <v>45000</v>
      </c>
      <c r="D15" s="5">
        <f>TabelaDeDespesasDePessoal111618212529333741[[#This Row],[REAL]]+TabelaDeDespesasDePessoal11161821252933374145[[#This Row],[REAL]]+TabelaDeDespesasDePessoal1116182125293337414549[[#This Row],[REAL]]</f>
        <v>0</v>
      </c>
      <c r="E15" s="8">
        <f>TabelaDeDespesasDePessoal111618658185[[#This Row],[REAL]]+(10^-6)*ROW(TabelaDeDespesasDePessoal111618658185[[#This Row],[REAL]])</f>
        <v>1.4999999999999999E-5</v>
      </c>
      <c r="F15" s="5">
        <f>TabelaDeDespesasDePessoal111618658185[[#This Row],[ESTIMADO]]-TabelaDeDespesasDePessoal111618658185[[#This Row],[REAL]]</f>
        <v>45000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SUBTOTAL(9,TabelaDeDespesasDePessoal111618658185[ESTIMADO])</f>
        <v>84840</v>
      </c>
      <c r="D16" s="12">
        <f>SUBTOTAL(9,TabelaDeDespesasDePessoal111618658185[REAL])</f>
        <v>0</v>
      </c>
      <c r="E16" s="12">
        <f>SUBTOTAL(9,TabelaDeDespesasDePessoal111618658185[5 Maiores Quantias])</f>
        <v>5.3999999999999998E-5</v>
      </c>
      <c r="F16" s="12">
        <f>SUBTOTAL(9,TabelaDeDespesasDePessoal111618658185[DIFERENÇA])</f>
        <v>84840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TabelaDeDespesasOperacionais71214172226303438[[#This Row],[ESTIMADO]]+TabelaDeDespesasOperacionais7121417222630343842[[#This Row],[ESTIMADO]]+TabelaDeDespesasOperacionais712141722263034384246[[#This Row],[ESTIMADO]]</f>
        <v>90</v>
      </c>
      <c r="D19" s="8">
        <f>TabelaDeDespesasOperacionais71214172226303438[[#This Row],[REAL]]+TabelaDeDespesasOperacionais7121417222630343842[[#This Row],[REAL]]+TabelaDeDespesasOperacionais712141722263034384246[[#This Row],[REAL]]</f>
        <v>0</v>
      </c>
      <c r="E19" s="8">
        <f>TabelaDeDespesasOperacionais71214627882[[#This Row],[REAL]]+(10^-6)*ROW(TabelaDeDespesasOperacionais71214627882[[#This Row],[REAL]])</f>
        <v>1.8999999999999998E-5</v>
      </c>
      <c r="F19" s="8">
        <f>TabelaDeDespesasOperacionais71214627882[[#This Row],[ESTIMADO]]-TabelaDeDespesasOperacionais71214627882[[#This Row],[REAL]]</f>
        <v>90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TabelaDeDespesasOperacionais71214172226303438[[#This Row],[ESTIMADO]]+TabelaDeDespesasOperacionais7121417222630343842[[#This Row],[ESTIMADO]]+TabelaDeDespesasOperacionais712141722263034384246[[#This Row],[ESTIMADO]]</f>
        <v>1350</v>
      </c>
      <c r="D20" s="8">
        <f>TabelaDeDespesasOperacionais71214172226303438[[#This Row],[REAL]]+TabelaDeDespesasOperacionais7121417222630343842[[#This Row],[REAL]]+TabelaDeDespesasOperacionais712141722263034384246[[#This Row],[REAL]]</f>
        <v>0</v>
      </c>
      <c r="E20" s="8">
        <f>TabelaDeDespesasOperacionais71214627882[[#This Row],[REAL]]+(10^-6)*ROW(TabelaDeDespesasOperacionais71214627882[[#This Row],[REAL]])</f>
        <v>1.9999999999999998E-5</v>
      </c>
      <c r="F20" s="8">
        <f>TabelaDeDespesasOperacionais71214627882[[#This Row],[ESTIMADO]]-TabelaDeDespesasOperacionais71214627882[[#This Row],[REAL]]</f>
        <v>1350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TabelaDeDespesasOperacionais71214172226303438[[#This Row],[ESTIMADO]]+TabelaDeDespesasOperacionais7121417222630343842[[#This Row],[ESTIMADO]]+TabelaDeDespesasOperacionais712141722263034384246[[#This Row],[ESTIMADO]]</f>
        <v>3600</v>
      </c>
      <c r="D21" s="8">
        <f>TabelaDeDespesasOperacionais71214172226303438[[#This Row],[REAL]]+TabelaDeDespesasOperacionais7121417222630343842[[#This Row],[REAL]]+TabelaDeDespesasOperacionais712141722263034384246[[#This Row],[REAL]]</f>
        <v>0</v>
      </c>
      <c r="E21" s="8">
        <f>TabelaDeDespesasOperacionais71214627882[[#This Row],[REAL]]+(10^-6)*ROW(TabelaDeDespesasOperacionais71214627882[[#This Row],[REAL]])</f>
        <v>2.0999999999999999E-5</v>
      </c>
      <c r="F21" s="8">
        <f>TabelaDeDespesasOperacionais71214627882[[#This Row],[ESTIMADO]]-TabelaDeDespesasOperacionais71214627882[[#This Row],[REAL]]</f>
        <v>3600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TabelaDeDespesasOperacionais71214172226303438[[#This Row],[ESTIMADO]]+TabelaDeDespesasOperacionais7121417222630343842[[#This Row],[ESTIMADO]]+TabelaDeDespesasOperacionais712141722263034384246[[#This Row],[ESTIMADO]]</f>
        <v>7500</v>
      </c>
      <c r="D22" s="8">
        <f>TabelaDeDespesasOperacionais71214172226303438[[#This Row],[REAL]]+TabelaDeDespesasOperacionais7121417222630343842[[#This Row],[REAL]]+TabelaDeDespesasOperacionais712141722263034384246[[#This Row],[REAL]]</f>
        <v>0</v>
      </c>
      <c r="E22" s="8">
        <f>TabelaDeDespesasOperacionais71214627882[[#This Row],[REAL]]+(10^-6)*ROW(TabelaDeDespesasOperacionais71214627882[[#This Row],[REAL]])</f>
        <v>2.1999999999999999E-5</v>
      </c>
      <c r="F22" s="8">
        <f>TabelaDeDespesasOperacionais71214627882[[#This Row],[ESTIMADO]]-TabelaDeDespesasOperacionais71214627882[[#This Row],[REAL]]</f>
        <v>7500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TabelaDeDespesasOperacionais71214172226303438[[#This Row],[ESTIMADO]]+TabelaDeDespesasOperacionais7121417222630343842[[#This Row],[ESTIMADO]]+TabelaDeDespesasOperacionais712141722263034384246[[#This Row],[ESTIMADO]]</f>
        <v>18000</v>
      </c>
      <c r="D23" s="8">
        <f>TabelaDeDespesasOperacionais71214172226303438[[#This Row],[REAL]]+TabelaDeDespesasOperacionais7121417222630343842[[#This Row],[REAL]]+TabelaDeDespesasOperacionais712141722263034384246[[#This Row],[REAL]]</f>
        <v>0</v>
      </c>
      <c r="E23" s="8">
        <f>TabelaDeDespesasOperacionais71214627882[[#This Row],[REAL]]+(10^-6)*ROW(TabelaDeDespesasOperacionais71214627882[[#This Row],[REAL]])</f>
        <v>2.3E-5</v>
      </c>
      <c r="F23" s="8">
        <f>TabelaDeDespesasOperacionais71214627882[[#This Row],[ESTIMADO]]-TabelaDeDespesasOperacionais71214627882[[#This Row],[REAL]]</f>
        <v>18000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TabelaDeDespesasOperacionais71214172226303438[[#This Row],[ESTIMADO]]+TabelaDeDespesasOperacionais7121417222630343842[[#This Row],[ESTIMADO]]+TabelaDeDespesasOperacionais712141722263034384246[[#This Row],[ESTIMADO]]</f>
        <v>750</v>
      </c>
      <c r="D24" s="8">
        <f>TabelaDeDespesasOperacionais71214172226303438[[#This Row],[REAL]]+TabelaDeDespesasOperacionais7121417222630343842[[#This Row],[REAL]]+TabelaDeDespesasOperacionais712141722263034384246[[#This Row],[REAL]]</f>
        <v>0</v>
      </c>
      <c r="E24" s="8">
        <f>TabelaDeDespesasOperacionais71214627882[[#This Row],[REAL]]+(10^-6)*ROW(TabelaDeDespesasOperacionais71214627882[[#This Row],[REAL]])</f>
        <v>2.4000000000000001E-5</v>
      </c>
      <c r="F24" s="8">
        <f>TabelaDeDespesasOperacionais71214627882[[#This Row],[ESTIMADO]]-TabelaDeDespesasOperacionais71214627882[[#This Row],[REAL]]</f>
        <v>750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TabelaDeDespesasOperacionais71214172226303438[[#This Row],[ESTIMADO]]+TabelaDeDespesasOperacionais7121417222630343842[[#This Row],[ESTIMADO]]+TabelaDeDespesasOperacionais712141722263034384246[[#This Row],[ESTIMADO]]</f>
        <v>900</v>
      </c>
      <c r="D25" s="8">
        <f>TabelaDeDespesasOperacionais71214172226303438[[#This Row],[REAL]]+TabelaDeDespesasOperacionais7121417222630343842[[#This Row],[REAL]]+TabelaDeDespesasOperacionais712141722263034384246[[#This Row],[REAL]]</f>
        <v>0</v>
      </c>
      <c r="E25" s="8">
        <f>TabelaDeDespesasOperacionais71214627882[[#This Row],[REAL]]+(10^-6)*ROW(TabelaDeDespesasOperacionais71214627882[[#This Row],[REAL]])</f>
        <v>2.4999999999999998E-5</v>
      </c>
      <c r="F25" s="8">
        <f>TabelaDeDespesasOperacionais71214627882[[#This Row],[ESTIMADO]]-TabelaDeDespesasOperacionais71214627882[[#This Row],[REAL]]</f>
        <v>900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TabelaDeDespesasOperacionais71214172226303438[[#This Row],[ESTIMADO]]+TabelaDeDespesasOperacionais7121417222630343842[[#This Row],[ESTIMADO]]+TabelaDeDespesasOperacionais712141722263034384246[[#This Row],[ESTIMADO]]</f>
        <v>1350</v>
      </c>
      <c r="D26" s="8">
        <f>TabelaDeDespesasOperacionais71214172226303438[[#This Row],[REAL]]+TabelaDeDespesasOperacionais7121417222630343842[[#This Row],[REAL]]+TabelaDeDespesasOperacionais712141722263034384246[[#This Row],[REAL]]</f>
        <v>0</v>
      </c>
      <c r="E26" s="8">
        <f>TabelaDeDespesasOperacionais71214627882[[#This Row],[REAL]]+(10^-6)*ROW(TabelaDeDespesasOperacionais71214627882[[#This Row],[REAL]])</f>
        <v>2.5999999999999998E-5</v>
      </c>
      <c r="F26" s="8">
        <f>TabelaDeDespesasOperacionais71214627882[[#This Row],[ESTIMADO]]-TabelaDeDespesasOperacionais71214627882[[#This Row],[REAL]]</f>
        <v>1350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TabelaDeDespesasOperacionais71214172226303438[[#This Row],[ESTIMADO]]+TabelaDeDespesasOperacionais7121417222630343842[[#This Row],[ESTIMADO]]+TabelaDeDespesasOperacionais712141722263034384246[[#This Row],[ESTIMADO]]</f>
        <v>750</v>
      </c>
      <c r="D27" s="8">
        <f>TabelaDeDespesasOperacionais71214172226303438[[#This Row],[REAL]]+TabelaDeDespesasOperacionais7121417222630343842[[#This Row],[REAL]]+TabelaDeDespesasOperacionais712141722263034384246[[#This Row],[REAL]]</f>
        <v>0</v>
      </c>
      <c r="E27" s="8">
        <f>TabelaDeDespesasOperacionais71214627882[[#This Row],[REAL]]+(10^-6)*ROW(TabelaDeDespesasOperacionais71214627882[[#This Row],[REAL]])</f>
        <v>2.6999999999999999E-5</v>
      </c>
      <c r="F27" s="8">
        <f>TabelaDeDespesasOperacionais71214627882[[#This Row],[ESTIMADO]]-TabelaDeDespesasOperacionais71214627882[[#This Row],[REAL]]</f>
        <v>750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TabelaDeDespesasOperacionais71214172226303438[[#This Row],[ESTIMADO]]+TabelaDeDespesasOperacionais7121417222630343842[[#This Row],[ESTIMADO]]+TabelaDeDespesasOperacionais712141722263034384246[[#This Row],[ESTIMADO]]</f>
        <v>450</v>
      </c>
      <c r="D28" s="8">
        <f>TabelaDeDespesasOperacionais71214172226303438[[#This Row],[REAL]]+TabelaDeDespesasOperacionais7121417222630343842[[#This Row],[REAL]]+TabelaDeDespesasOperacionais712141722263034384246[[#This Row],[REAL]]</f>
        <v>0</v>
      </c>
      <c r="E28" s="8">
        <f>TabelaDeDespesasOperacionais71214627882[[#This Row],[REAL]]+(10^-6)*ROW(TabelaDeDespesasOperacionais71214627882[[#This Row],[REAL]])</f>
        <v>2.8E-5</v>
      </c>
      <c r="F28" s="8">
        <f>TabelaDeDespesasOperacionais71214627882[[#This Row],[ESTIMADO]]-TabelaDeDespesasOperacionais71214627882[[#This Row],[REAL]]</f>
        <v>450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TabelaDeDespesasOperacionais71214172226303438[[#This Row],[ESTIMADO]]+TabelaDeDespesasOperacionais7121417222630343842[[#This Row],[ESTIMADO]]+TabelaDeDespesasOperacionais712141722263034384246[[#This Row],[ESTIMADO]]</f>
        <v>13500</v>
      </c>
      <c r="D29" s="8">
        <f>TabelaDeDespesasOperacionais71214172226303438[[#This Row],[REAL]]+TabelaDeDespesasOperacionais7121417222630343842[[#This Row],[REAL]]+TabelaDeDespesasOperacionais712141722263034384246[[#This Row],[REAL]]</f>
        <v>0</v>
      </c>
      <c r="E29" s="8">
        <f>TabelaDeDespesasOperacionais71214627882[[#This Row],[REAL]]+(10^-6)*ROW(TabelaDeDespesasOperacionais71214627882[[#This Row],[REAL]])</f>
        <v>2.9E-5</v>
      </c>
      <c r="F29" s="8">
        <f>TabelaDeDespesasOperacionais71214627882[[#This Row],[ESTIMADO]]-TabelaDeDespesasOperacionais71214627882[[#This Row],[REAL]]</f>
        <v>13500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TabelaDeDespesasOperacionais71214172226303438[[#This Row],[ESTIMADO]]+TabelaDeDespesasOperacionais7121417222630343842[[#This Row],[ESTIMADO]]+TabelaDeDespesasOperacionais712141722263034384246[[#This Row],[ESTIMADO]]</f>
        <v>4500</v>
      </c>
      <c r="D30" s="8">
        <f>TabelaDeDespesasOperacionais71214172226303438[[#This Row],[REAL]]+TabelaDeDespesasOperacionais7121417222630343842[[#This Row],[REAL]]+TabelaDeDespesasOperacionais712141722263034384246[[#This Row],[REAL]]</f>
        <v>0</v>
      </c>
      <c r="E30" s="8">
        <f>TabelaDeDespesasOperacionais71214627882[[#This Row],[REAL]]+(10^-6)*ROW(TabelaDeDespesasOperacionais71214627882[[#This Row],[REAL]])</f>
        <v>2.9999999999999997E-5</v>
      </c>
      <c r="F30" s="8">
        <f>TabelaDeDespesasOperacionais71214627882[[#This Row],[ESTIMADO]]-TabelaDeDespesasOperacionais71214627882[[#This Row],[REAL]]</f>
        <v>4500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SUBTOTAL(9,TabelaDeDespesasOperacionais71214627882[ESTIMADO])</f>
        <v>52740</v>
      </c>
      <c r="D31" s="12">
        <f>SUBTOTAL(9,TabelaDeDespesasOperacionais71214627882[REAL])</f>
        <v>0</v>
      </c>
      <c r="E31" s="12">
        <f>SUBTOTAL(9,TabelaDeDespesasOperacionais71214627882[5 Maiores Quantias])</f>
        <v>2.9399999999999999E-4</v>
      </c>
      <c r="F31" s="12">
        <f>SUBTOTAL(9,TabelaDeDespesasOperacionais71214627882[DIFERENÇA])</f>
        <v>52740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tabColor theme="6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40</v>
      </c>
      <c r="G2" s="40"/>
      <c r="H2" s="23" t="s">
        <v>71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TabelaDeRendimentos81315192327313539434751[[#This Row],[ESTIMADO]]+TabelaDeRendimentos8131519232731353943475155[[#This Row],[ESTIMADO]]+TabelaDeRendimentos813151923273135394347515559[[#This Row],[ESTIMADO]]</f>
        <v>104700</v>
      </c>
      <c r="D5" s="5">
        <f>TabelaDeRendimentos81315192327313539434751[[#This Row],[REAL]]+TabelaDeRendimentos8131519232731353943475155[[#This Row],[REAL]]+TabelaDeRendimentos813151923273135394347515559[[#This Row],[REAL]]</f>
        <v>0</v>
      </c>
      <c r="E5" s="5">
        <f>TabelaDeRendimentos8131563798387[[#This Row],[REAL]]+(10^-6)*ROW(TabelaDeRendimentos8131563798387[[#This Row],[REAL]])</f>
        <v>4.9999999999999996E-6</v>
      </c>
      <c r="F5" s="5">
        <f>TabelaDeRendimentos8131563798387[[#This Row],[REAL]]-TabelaDeRendimentos8131563798387[[#This Row],[ESTIMADO]]</f>
        <v>-104700</v>
      </c>
      <c r="G5" s="3"/>
      <c r="H5" s="4" t="s">
        <v>6</v>
      </c>
      <c r="I5" s="5">
        <f>TabelaDeRendimentos8131563798387[[#Totals],[ESTIMADO]]</f>
        <v>472611</v>
      </c>
      <c r="J5" s="5">
        <f>TabelaDeRendimentos8131563798387[[#Totals],[REAL]]</f>
        <v>0</v>
      </c>
      <c r="K5" s="5">
        <f>TabelaDeTotais9141664808488[[#This Row],[REAL]]-TabelaDeTotais9141664808488[[#This Row],[ESTIMADO]]</f>
        <v>-472611</v>
      </c>
      <c r="L5" s="3"/>
    </row>
    <row r="6" spans="1:524" ht="16.5" customHeight="1" x14ac:dyDescent="0.25">
      <c r="A6" s="3"/>
      <c r="B6" s="7" t="s">
        <v>19</v>
      </c>
      <c r="C6" s="5">
        <f>TabelaDeRendimentos81315192327313539434751[[#This Row],[ESTIMADO]]+TabelaDeRendimentos8131519232731353943475155[[#This Row],[ESTIMADO]]+TabelaDeRendimentos813151923273135394347515559[[#This Row],[ESTIMADO]]</f>
        <v>167760.00000000003</v>
      </c>
      <c r="D6" s="5">
        <f>TabelaDeRendimentos81315192327313539434751[[#This Row],[REAL]]+TabelaDeRendimentos8131519232731353943475155[[#This Row],[REAL]]+TabelaDeRendimentos813151923273135394347515559[[#This Row],[REAL]]</f>
        <v>0</v>
      </c>
      <c r="E6" s="5">
        <f>TabelaDeRendimentos8131563798387[[#This Row],[REAL]]+(10^-6)*ROW(TabelaDeRendimentos8131563798387[[#This Row],[REAL]])</f>
        <v>6.0000000000000002E-6</v>
      </c>
      <c r="F6" s="5">
        <f>TabelaDeRendimentos8131563798387[[#This Row],[REAL]]-TabelaDeRendimentos8131563798387[[#This Row],[ESTIMADO]]</f>
        <v>-167760.00000000003</v>
      </c>
      <c r="G6" s="3"/>
      <c r="H6" s="4" t="s">
        <v>7</v>
      </c>
      <c r="I6" s="5">
        <f>TabelaDeDespesasOperacionais7121462788286[[#Totals],[ESTIMADO]]+TabelaDeDespesasDePessoal11161865818589[[#Totals],[ESTIMADO]]</f>
        <v>137580</v>
      </c>
      <c r="J6" s="5">
        <f>TabelaDeDespesasOperacionais7121462788286[[#Totals],[REAL]]+TabelaDeDespesasDePessoal11161865818589[[#Totals],[REAL]]</f>
        <v>0</v>
      </c>
      <c r="K6" s="5">
        <f>TabelaDeTotais9141664808488[[#This Row],[ESTIMADO]]-TabelaDeTotais9141664808488[[#This Row],[REAL]]</f>
        <v>137580</v>
      </c>
      <c r="L6" s="3"/>
    </row>
    <row r="7" spans="1:524" ht="16.5" customHeight="1" x14ac:dyDescent="0.25">
      <c r="A7" s="3"/>
      <c r="B7" s="7" t="s">
        <v>20</v>
      </c>
      <c r="C7" s="5">
        <f>TabelaDeRendimentos81315192327313539434751[[#This Row],[ESTIMADO]]+TabelaDeRendimentos8131519232731353943475155[[#This Row],[ESTIMADO]]+TabelaDeRendimentos813151923273135394347515559[[#This Row],[ESTIMADO]]</f>
        <v>78525</v>
      </c>
      <c r="D7" s="5">
        <f>TabelaDeRendimentos81315192327313539434751[[#This Row],[REAL]]+TabelaDeRendimentos8131519232731353943475155[[#This Row],[REAL]]+TabelaDeRendimentos813151923273135394347515559[[#This Row],[REAL]]</f>
        <v>0</v>
      </c>
      <c r="E7" s="5">
        <f>TabelaDeRendimentos8131563798387[[#This Row],[REAL]]+(10^-6)*ROW(TabelaDeRendimentos8131563798387[[#This Row],[REAL]])</f>
        <v>6.9999999999999999E-6</v>
      </c>
      <c r="F7" s="5">
        <f>TabelaDeRendimentos8131563798387[[#This Row],[REAL]]-TabelaDeRendimentos8131563798387[[#This Row],[ESTIMADO]]</f>
        <v>-78525</v>
      </c>
      <c r="G7" s="3"/>
      <c r="H7" s="14" t="s">
        <v>8</v>
      </c>
      <c r="I7" s="15">
        <f>I5-I6</f>
        <v>335031</v>
      </c>
      <c r="J7" s="15">
        <f>J5-J6</f>
        <v>0</v>
      </c>
      <c r="K7" s="15">
        <f>TabelaDeTotais9141664808488[[#Totals],[REAL]]-TabelaDeTotais9141664808488[[#Totals],[ESTIMADO]]</f>
        <v>-335031</v>
      </c>
      <c r="L7" s="3"/>
    </row>
    <row r="8" spans="1:524" ht="16.5" customHeight="1" x14ac:dyDescent="0.25">
      <c r="A8" s="3"/>
      <c r="B8" s="7" t="s">
        <v>21</v>
      </c>
      <c r="C8" s="5">
        <f>TabelaDeRendimentos81315192327313539434751[[#This Row],[ESTIMADO]]+TabelaDeRendimentos8131519232731353943475155[[#This Row],[ESTIMADO]]+TabelaDeRendimentos813151923273135394347515559[[#This Row],[ESTIMADO]]</f>
        <v>121626</v>
      </c>
      <c r="D8" s="5">
        <f>TabelaDeRendimentos81315192327313539434751[[#This Row],[REAL]]+TabelaDeRendimentos8131519232731353943475155[[#This Row],[REAL]]+TabelaDeRendimentos813151923273135394347515559[[#This Row],[REAL]]</f>
        <v>0</v>
      </c>
      <c r="E8" s="5">
        <f>TabelaDeRendimentos8131563798387[[#This Row],[REAL]]+(10^-6)*ROW(TabelaDeRendimentos8131563798387[[#This Row],[REAL]])</f>
        <v>7.9999999999999996E-6</v>
      </c>
      <c r="F8" s="9">
        <f>TabelaDeRendimentos8131563798387[[#This Row],[REAL]]-TabelaDeRendimentos8131563798387[[#This Row],[ESTIMADO]]</f>
        <v>-121626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SUBTOTAL(9,TabelaDeRendimentos8131563798387[ESTIMADO])</f>
        <v>472611</v>
      </c>
      <c r="D9" s="13">
        <f>SUBTOTAL(9,TabelaDeRendimentos8131563798387[REAL])</f>
        <v>0</v>
      </c>
      <c r="E9" s="13">
        <f>SUBTOTAL(9,TabelaDeRendimentos8131563798387[5 Maiores Quantias])</f>
        <v>2.6000000000000002E-5</v>
      </c>
      <c r="F9" s="13">
        <f>SUBTOTAL(9,TabelaDeRendimentos8131563798387[DIFERENÇA])</f>
        <v>-472611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TabelaDeDespesasDePessoal111618212529333741454953[[#This Row],[ESTIMADO]]+TabelaDeDespesasDePessoal11161821252933374145495357[[#This Row],[ESTIMADO]]+TabelaDeDespesasDePessoal1116182125293337414549535761[[#This Row],[ESTIMADO]]</f>
        <v>1440</v>
      </c>
      <c r="D12" s="5">
        <f>TabelaDeDespesasDePessoal111618212529333741454953[[#This Row],[REAL]]+TabelaDeDespesasDePessoal11161821252933374145495357[[#This Row],[REAL]]+TabelaDeDespesasDePessoal1116182125293337414549535761[[#This Row],[REAL]]</f>
        <v>0</v>
      </c>
      <c r="E12" s="8">
        <f>TabelaDeDespesasDePessoal11161865818589[[#This Row],[REAL]]+(10^-6)*ROW(TabelaDeDespesasDePessoal11161865818589[[#This Row],[REAL]])</f>
        <v>1.2E-5</v>
      </c>
      <c r="F12" s="5">
        <f>TabelaDeDespesasDePessoal11161865818589[[#This Row],[ESTIMADO]]-TabelaDeDespesasDePessoal11161865818589[[#This Row],[REAL]]</f>
        <v>1440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TabelaDeDespesasDePessoal111618212529333741454953[[#This Row],[ESTIMADO]]+TabelaDeDespesasDePessoal11161821252933374145495357[[#This Row],[ESTIMADO]]+TabelaDeDespesasDePessoal1116182125293337414549535761[[#This Row],[ESTIMADO]]</f>
        <v>900</v>
      </c>
      <c r="D13" s="5">
        <f>TabelaDeDespesasDePessoal111618212529333741454953[[#This Row],[REAL]]+TabelaDeDespesasDePessoal11161821252933374145495357[[#This Row],[REAL]]+TabelaDeDespesasDePessoal1116182125293337414549535761[[#This Row],[REAL]]</f>
        <v>0</v>
      </c>
      <c r="E13" s="8">
        <f>TabelaDeDespesasDePessoal11161865818589[[#This Row],[REAL]]+(10^-6)*ROW(TabelaDeDespesasDePessoal11161865818589[[#This Row],[REAL]])</f>
        <v>1.2999999999999999E-5</v>
      </c>
      <c r="F13" s="5">
        <f>TabelaDeDespesasDePessoal11161865818589[[#This Row],[ESTIMADO]]-TabelaDeDespesasDePessoal11161865818589[[#This Row],[REAL]]</f>
        <v>900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TabelaDeDespesasDePessoal111618212529333741454953[[#This Row],[ESTIMADO]]+TabelaDeDespesasDePessoal11161821252933374145495357[[#This Row],[ESTIMADO]]+TabelaDeDespesasDePessoal1116182125293337414549535761[[#This Row],[ESTIMADO]]</f>
        <v>37500</v>
      </c>
      <c r="D14" s="5">
        <f>TabelaDeDespesasDePessoal111618212529333741454953[[#This Row],[REAL]]+TabelaDeDespesasDePessoal11161821252933374145495357[[#This Row],[REAL]]+TabelaDeDespesasDePessoal1116182125293337414549535761[[#This Row],[REAL]]</f>
        <v>0</v>
      </c>
      <c r="E14" s="8">
        <f>TabelaDeDespesasDePessoal11161865818589[[#This Row],[REAL]]+(10^-6)*ROW(TabelaDeDespesasDePessoal11161865818589[[#This Row],[REAL]])</f>
        <v>1.4E-5</v>
      </c>
      <c r="F14" s="5">
        <f>TabelaDeDespesasDePessoal11161865818589[[#This Row],[ESTIMADO]]-TabelaDeDespesasDePessoal11161865818589[[#This Row],[REAL]]</f>
        <v>37500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TabelaDeDespesasDePessoal111618212529333741454953[[#This Row],[ESTIMADO]]+TabelaDeDespesasDePessoal11161821252933374145495357[[#This Row],[ESTIMADO]]+TabelaDeDespesasDePessoal1116182125293337414549535761[[#This Row],[ESTIMADO]]</f>
        <v>45000</v>
      </c>
      <c r="D15" s="5">
        <f>TabelaDeDespesasDePessoal111618212529333741454953[[#This Row],[REAL]]+TabelaDeDespesasDePessoal11161821252933374145495357[[#This Row],[REAL]]+TabelaDeDespesasDePessoal1116182125293337414549535761[[#This Row],[REAL]]</f>
        <v>0</v>
      </c>
      <c r="E15" s="8">
        <f>TabelaDeDespesasDePessoal11161865818589[[#This Row],[REAL]]+(10^-6)*ROW(TabelaDeDespesasDePessoal11161865818589[[#This Row],[REAL]])</f>
        <v>1.4999999999999999E-5</v>
      </c>
      <c r="F15" s="5">
        <f>TabelaDeDespesasDePessoal11161865818589[[#This Row],[ESTIMADO]]-TabelaDeDespesasDePessoal11161865818589[[#This Row],[REAL]]</f>
        <v>45000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SUBTOTAL(9,TabelaDeDespesasDePessoal11161865818589[ESTIMADO])</f>
        <v>84840</v>
      </c>
      <c r="D16" s="12">
        <f>SUBTOTAL(9,TabelaDeDespesasDePessoal11161865818589[REAL])</f>
        <v>0</v>
      </c>
      <c r="E16" s="12">
        <f>SUBTOTAL(9,TabelaDeDespesasDePessoal11161865818589[5 Maiores Quantias])</f>
        <v>5.3999999999999998E-5</v>
      </c>
      <c r="F16" s="12">
        <f>SUBTOTAL(9,TabelaDeDespesasDePessoal11161865818589[DIFERENÇA])</f>
        <v>84840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TabelaDeDespesasOperacionais71214172226303438424650[[#This Row],[ESTIMADO]]+TabelaDeDespesasOperacionais7121417222630343842465054[[#This Row],[ESTIMADO]]+TabelaDeDespesasOperacionais712141722263034384246505458[[#This Row],[ESTIMADO]]</f>
        <v>90</v>
      </c>
      <c r="D19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19" s="8">
        <f>TabelaDeDespesasOperacionais7121462788286[[#This Row],[REAL]]+(10^-6)*ROW(TabelaDeDespesasOperacionais7121462788286[[#This Row],[REAL]])</f>
        <v>1.8999999999999998E-5</v>
      </c>
      <c r="F19" s="8">
        <f>TabelaDeDespesasOperacionais7121462788286[[#This Row],[ESTIMADO]]-TabelaDeDespesasOperacionais7121462788286[[#This Row],[REAL]]</f>
        <v>90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TabelaDeDespesasOperacionais71214172226303438424650[[#This Row],[ESTIMADO]]+TabelaDeDespesasOperacionais7121417222630343842465054[[#This Row],[ESTIMADO]]+TabelaDeDespesasOperacionais712141722263034384246505458[[#This Row],[ESTIMADO]]</f>
        <v>1350</v>
      </c>
      <c r="D20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0" s="8">
        <f>TabelaDeDespesasOperacionais7121462788286[[#This Row],[REAL]]+(10^-6)*ROW(TabelaDeDespesasOperacionais7121462788286[[#This Row],[REAL]])</f>
        <v>1.9999999999999998E-5</v>
      </c>
      <c r="F20" s="8">
        <f>TabelaDeDespesasOperacionais7121462788286[[#This Row],[ESTIMADO]]-TabelaDeDespesasOperacionais7121462788286[[#This Row],[REAL]]</f>
        <v>1350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TabelaDeDespesasOperacionais71214172226303438424650[[#This Row],[ESTIMADO]]+TabelaDeDespesasOperacionais7121417222630343842465054[[#This Row],[ESTIMADO]]+TabelaDeDespesasOperacionais712141722263034384246505458[[#This Row],[ESTIMADO]]</f>
        <v>3600</v>
      </c>
      <c r="D21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1" s="8">
        <f>TabelaDeDespesasOperacionais7121462788286[[#This Row],[REAL]]+(10^-6)*ROW(TabelaDeDespesasOperacionais7121462788286[[#This Row],[REAL]])</f>
        <v>2.0999999999999999E-5</v>
      </c>
      <c r="F21" s="8">
        <f>TabelaDeDespesasOperacionais7121462788286[[#This Row],[ESTIMADO]]-TabelaDeDespesasOperacionais7121462788286[[#This Row],[REAL]]</f>
        <v>3600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TabelaDeDespesasOperacionais71214172226303438424650[[#This Row],[ESTIMADO]]+TabelaDeDespesasOperacionais7121417222630343842465054[[#This Row],[ESTIMADO]]+TabelaDeDespesasOperacionais712141722263034384246505458[[#This Row],[ESTIMADO]]</f>
        <v>7500</v>
      </c>
      <c r="D22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2" s="8">
        <f>TabelaDeDespesasOperacionais7121462788286[[#This Row],[REAL]]+(10^-6)*ROW(TabelaDeDespesasOperacionais7121462788286[[#This Row],[REAL]])</f>
        <v>2.1999999999999999E-5</v>
      </c>
      <c r="F22" s="8">
        <f>TabelaDeDespesasOperacionais7121462788286[[#This Row],[ESTIMADO]]-TabelaDeDespesasOperacionais7121462788286[[#This Row],[REAL]]</f>
        <v>7500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TabelaDeDespesasOperacionais71214172226303438424650[[#This Row],[ESTIMADO]]+TabelaDeDespesasOperacionais7121417222630343842465054[[#This Row],[ESTIMADO]]+TabelaDeDespesasOperacionais712141722263034384246505458[[#This Row],[ESTIMADO]]</f>
        <v>18000</v>
      </c>
      <c r="D23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3" s="8">
        <f>TabelaDeDespesasOperacionais7121462788286[[#This Row],[REAL]]+(10^-6)*ROW(TabelaDeDespesasOperacionais7121462788286[[#This Row],[REAL]])</f>
        <v>2.3E-5</v>
      </c>
      <c r="F23" s="8">
        <f>TabelaDeDespesasOperacionais7121462788286[[#This Row],[ESTIMADO]]-TabelaDeDespesasOperacionais7121462788286[[#This Row],[REAL]]</f>
        <v>18000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TabelaDeDespesasOperacionais71214172226303438424650[[#This Row],[ESTIMADO]]+TabelaDeDespesasOperacionais7121417222630343842465054[[#This Row],[ESTIMADO]]+TabelaDeDespesasOperacionais712141722263034384246505458[[#This Row],[ESTIMADO]]</f>
        <v>750</v>
      </c>
      <c r="D24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4" s="8">
        <f>TabelaDeDespesasOperacionais7121462788286[[#This Row],[REAL]]+(10^-6)*ROW(TabelaDeDespesasOperacionais7121462788286[[#This Row],[REAL]])</f>
        <v>2.4000000000000001E-5</v>
      </c>
      <c r="F24" s="8">
        <f>TabelaDeDespesasOperacionais7121462788286[[#This Row],[ESTIMADO]]-TabelaDeDespesasOperacionais7121462788286[[#This Row],[REAL]]</f>
        <v>750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TabelaDeDespesasOperacionais71214172226303438424650[[#This Row],[ESTIMADO]]+TabelaDeDespesasOperacionais7121417222630343842465054[[#This Row],[ESTIMADO]]+TabelaDeDespesasOperacionais712141722263034384246505458[[#This Row],[ESTIMADO]]</f>
        <v>900</v>
      </c>
      <c r="D25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5" s="8">
        <f>TabelaDeDespesasOperacionais7121462788286[[#This Row],[REAL]]+(10^-6)*ROW(TabelaDeDespesasOperacionais7121462788286[[#This Row],[REAL]])</f>
        <v>2.4999999999999998E-5</v>
      </c>
      <c r="F25" s="8">
        <f>TabelaDeDespesasOperacionais7121462788286[[#This Row],[ESTIMADO]]-TabelaDeDespesasOperacionais7121462788286[[#This Row],[REAL]]</f>
        <v>900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TabelaDeDespesasOperacionais71214172226303438424650[[#This Row],[ESTIMADO]]+TabelaDeDespesasOperacionais7121417222630343842465054[[#This Row],[ESTIMADO]]+TabelaDeDespesasOperacionais712141722263034384246505458[[#This Row],[ESTIMADO]]</f>
        <v>1350</v>
      </c>
      <c r="D26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6" s="8">
        <f>TabelaDeDespesasOperacionais7121462788286[[#This Row],[REAL]]+(10^-6)*ROW(TabelaDeDespesasOperacionais7121462788286[[#This Row],[REAL]])</f>
        <v>2.5999999999999998E-5</v>
      </c>
      <c r="F26" s="8">
        <f>TabelaDeDespesasOperacionais7121462788286[[#This Row],[ESTIMADO]]-TabelaDeDespesasOperacionais7121462788286[[#This Row],[REAL]]</f>
        <v>1350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TabelaDeDespesasOperacionais71214172226303438424650[[#This Row],[ESTIMADO]]+TabelaDeDespesasOperacionais7121417222630343842465054[[#This Row],[ESTIMADO]]+TabelaDeDespesasOperacionais712141722263034384246505458[[#This Row],[ESTIMADO]]</f>
        <v>750</v>
      </c>
      <c r="D27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7" s="8">
        <f>TabelaDeDespesasOperacionais7121462788286[[#This Row],[REAL]]+(10^-6)*ROW(TabelaDeDespesasOperacionais7121462788286[[#This Row],[REAL]])</f>
        <v>2.6999999999999999E-5</v>
      </c>
      <c r="F27" s="8">
        <f>TabelaDeDespesasOperacionais7121462788286[[#This Row],[ESTIMADO]]-TabelaDeDespesasOperacionais7121462788286[[#This Row],[REAL]]</f>
        <v>750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TabelaDeDespesasOperacionais71214172226303438424650[[#This Row],[ESTIMADO]]+TabelaDeDespesasOperacionais7121417222630343842465054[[#This Row],[ESTIMADO]]+TabelaDeDespesasOperacionais712141722263034384246505458[[#This Row],[ESTIMADO]]</f>
        <v>450</v>
      </c>
      <c r="D28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8" s="8">
        <f>TabelaDeDespesasOperacionais7121462788286[[#This Row],[REAL]]+(10^-6)*ROW(TabelaDeDespesasOperacionais7121462788286[[#This Row],[REAL]])</f>
        <v>2.8E-5</v>
      </c>
      <c r="F28" s="8">
        <f>TabelaDeDespesasOperacionais7121462788286[[#This Row],[ESTIMADO]]-TabelaDeDespesasOperacionais7121462788286[[#This Row],[REAL]]</f>
        <v>450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TabelaDeDespesasOperacionais71214172226303438424650[[#This Row],[ESTIMADO]]+TabelaDeDespesasOperacionais7121417222630343842465054[[#This Row],[ESTIMADO]]+TabelaDeDespesasOperacionais712141722263034384246505458[[#This Row],[ESTIMADO]]</f>
        <v>13500</v>
      </c>
      <c r="D29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29" s="8">
        <f>TabelaDeDespesasOperacionais7121462788286[[#This Row],[REAL]]+(10^-6)*ROW(TabelaDeDespesasOperacionais7121462788286[[#This Row],[REAL]])</f>
        <v>2.9E-5</v>
      </c>
      <c r="F29" s="8">
        <f>TabelaDeDespesasOperacionais7121462788286[[#This Row],[ESTIMADO]]-TabelaDeDespesasOperacionais7121462788286[[#This Row],[REAL]]</f>
        <v>13500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TabelaDeDespesasOperacionais71214172226303438424650[[#This Row],[ESTIMADO]]+TabelaDeDespesasOperacionais7121417222630343842465054[[#This Row],[ESTIMADO]]+TabelaDeDespesasOperacionais712141722263034384246505458[[#This Row],[ESTIMADO]]</f>
        <v>4500</v>
      </c>
      <c r="D30" s="8">
        <f>TabelaDeDespesasOperacionais71214172226303438424650[[#This Row],[REAL]]+TabelaDeDespesasOperacionais7121417222630343842465054[[#This Row],[REAL]]+TabelaDeDespesasOperacionais712141722263034384246505458[[#This Row],[REAL]]</f>
        <v>0</v>
      </c>
      <c r="E30" s="8">
        <f>TabelaDeDespesasOperacionais7121462788286[[#This Row],[REAL]]+(10^-6)*ROW(TabelaDeDespesasOperacionais7121462788286[[#This Row],[REAL]])</f>
        <v>2.9999999999999997E-5</v>
      </c>
      <c r="F30" s="8">
        <f>TabelaDeDespesasOperacionais7121462788286[[#This Row],[ESTIMADO]]-TabelaDeDespesasOperacionais7121462788286[[#This Row],[REAL]]</f>
        <v>4500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SUBTOTAL(9,TabelaDeDespesasOperacionais7121462788286[ESTIMADO])</f>
        <v>52740</v>
      </c>
      <c r="D31" s="12">
        <f>SUBTOTAL(9,TabelaDeDespesasOperacionais7121462788286[REAL])</f>
        <v>0</v>
      </c>
      <c r="E31" s="12">
        <f>SUBTOTAL(9,TabelaDeDespesasOperacionais7121462788286[5 Maiores Quantias])</f>
        <v>2.9399999999999999E-4</v>
      </c>
      <c r="F31" s="12">
        <f>SUBTOTAL(9,TabelaDeDespesasOperacionais7121462788286[DIFERENÇA])</f>
        <v>52740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theme="7" tint="-0.249977111117893"/>
  </sheetPr>
  <dimension ref="A1:TD10348"/>
  <sheetViews>
    <sheetView showGridLines="0" zoomScale="73" zoomScaleNormal="73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41</v>
      </c>
      <c r="G2" s="40"/>
      <c r="H2" s="23" t="s">
        <v>43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TabelaDeRendimentos8131563[[#This Row],[ESTIMADO]]+TabelaDeRendimentos813156379[[#This Row],[ESTIMADO]]</f>
        <v>209400</v>
      </c>
      <c r="D5" s="5">
        <f>TabelaDeRendimentos8131563[[#This Row],[REAL]]+TabelaDeRendimentos813156379[[#This Row],[REAL]]</f>
        <v>99465</v>
      </c>
      <c r="E5" s="5">
        <f>TabelaDeRendimentos8131563798391[[#This Row],[REAL]]+(10^-6)*ROW(TabelaDeRendimentos8131563798391[[#This Row],[REAL]])</f>
        <v>99465.000004999994</v>
      </c>
      <c r="F5" s="5">
        <f>TabelaDeRendimentos8131563798391[[#This Row],[REAL]]-TabelaDeRendimentos8131563798391[[#This Row],[ESTIMADO]]</f>
        <v>-109935</v>
      </c>
      <c r="G5" s="3"/>
      <c r="H5" s="4" t="s">
        <v>6</v>
      </c>
      <c r="I5" s="5">
        <f>TabelaDeRendimentos8131563798391[[#Totals],[ESTIMADO]]</f>
        <v>945222</v>
      </c>
      <c r="J5" s="5">
        <f>TabelaDeRendimentos8131563798391[[#Totals],[REAL]]</f>
        <v>471216.5</v>
      </c>
      <c r="K5" s="5">
        <f>TabelaDeTotais9141664808492[[#This Row],[REAL]]-TabelaDeTotais9141664808492[[#This Row],[ESTIMADO]]</f>
        <v>-474005.5</v>
      </c>
      <c r="L5" s="3"/>
    </row>
    <row r="6" spans="1:524" ht="16.5" customHeight="1" x14ac:dyDescent="0.25">
      <c r="A6" s="3"/>
      <c r="B6" s="7" t="s">
        <v>19</v>
      </c>
      <c r="C6" s="5">
        <f>TabelaDeRendimentos8131563[[#This Row],[ESTIMADO]]+TabelaDeRendimentos813156379[[#This Row],[ESTIMADO]]</f>
        <v>335520.00000000006</v>
      </c>
      <c r="D6" s="5">
        <f>TabelaDeRendimentos8131563[[#This Row],[REAL]]+TabelaDeRendimentos813156379[[#This Row],[REAL]]</f>
        <v>169507.50000000003</v>
      </c>
      <c r="E6" s="5">
        <f>TabelaDeRendimentos8131563798391[[#This Row],[REAL]]+(10^-6)*ROW(TabelaDeRendimentos8131563798391[[#This Row],[REAL]])</f>
        <v>169507.50000600002</v>
      </c>
      <c r="F6" s="5">
        <f>TabelaDeRendimentos8131563798391[[#This Row],[REAL]]-TabelaDeRendimentos8131563798391[[#This Row],[ESTIMADO]]</f>
        <v>-166012.50000000003</v>
      </c>
      <c r="G6" s="3"/>
      <c r="H6" s="4" t="s">
        <v>7</v>
      </c>
      <c r="I6" s="5">
        <f>TabelaDeDespesasOperacionais7121462788290[[#Totals],[ESTIMADO]]+TabelaDeDespesasDePessoal11161865818593[[#Totals],[ESTIMADO]]</f>
        <v>275160</v>
      </c>
      <c r="J6" s="5">
        <f>TabelaDeDespesasOperacionais7121462788290[[#Totals],[REAL]]+TabelaDeDespesasDePessoal11161865818593[[#Totals],[REAL]]</f>
        <v>109980</v>
      </c>
      <c r="K6" s="5">
        <f>TabelaDeTotais9141664808492[[#This Row],[ESTIMADO]]-TabelaDeTotais9141664808492[[#This Row],[REAL]]</f>
        <v>165180</v>
      </c>
      <c r="L6" s="3"/>
    </row>
    <row r="7" spans="1:524" ht="16.5" customHeight="1" x14ac:dyDescent="0.25">
      <c r="A7" s="3"/>
      <c r="B7" s="7" t="s">
        <v>20</v>
      </c>
      <c r="C7" s="5">
        <f>TabelaDeRendimentos8131563[[#This Row],[ESTIMADO]]+TabelaDeRendimentos813156379[[#This Row],[ESTIMADO]]</f>
        <v>157050</v>
      </c>
      <c r="D7" s="5">
        <f>TabelaDeRendimentos8131563[[#This Row],[REAL]]+TabelaDeRendimentos813156379[[#This Row],[REAL]]</f>
        <v>81317</v>
      </c>
      <c r="E7" s="5">
        <f>TabelaDeRendimentos8131563798391[[#This Row],[REAL]]+(10^-6)*ROW(TabelaDeRendimentos8131563798391[[#This Row],[REAL]])</f>
        <v>81317.000006999995</v>
      </c>
      <c r="F7" s="5">
        <f>TabelaDeRendimentos8131563798391[[#This Row],[REAL]]-TabelaDeRendimentos8131563798391[[#This Row],[ESTIMADO]]</f>
        <v>-75733</v>
      </c>
      <c r="G7" s="3"/>
      <c r="H7" s="14" t="s">
        <v>8</v>
      </c>
      <c r="I7" s="15">
        <f>I5-I6</f>
        <v>670062</v>
      </c>
      <c r="J7" s="15">
        <f>J5-J6</f>
        <v>361236.5</v>
      </c>
      <c r="K7" s="15">
        <f>TabelaDeTotais9141664808492[[#Totals],[REAL]]-TabelaDeTotais9141664808492[[#Totals],[ESTIMADO]]</f>
        <v>-308825.5</v>
      </c>
      <c r="L7" s="3"/>
    </row>
    <row r="8" spans="1:524" ht="16.5" customHeight="1" x14ac:dyDescent="0.25">
      <c r="A8" s="3"/>
      <c r="B8" s="7" t="s">
        <v>21</v>
      </c>
      <c r="C8" s="5">
        <f>TabelaDeRendimentos8131563[[#This Row],[ESTIMADO]]+TabelaDeRendimentos813156379[[#This Row],[ESTIMADO]]</f>
        <v>243252</v>
      </c>
      <c r="D8" s="5">
        <f>TabelaDeRendimentos8131563[[#This Row],[REAL]]+TabelaDeRendimentos813156379[[#This Row],[REAL]]</f>
        <v>120927</v>
      </c>
      <c r="E8" s="5">
        <f>TabelaDeRendimentos8131563798391[[#This Row],[REAL]]+(10^-6)*ROW(TabelaDeRendimentos8131563798391[[#This Row],[REAL]])</f>
        <v>120927.000008</v>
      </c>
      <c r="F8" s="9">
        <f>TabelaDeRendimentos8131563798391[[#This Row],[REAL]]-TabelaDeRendimentos8131563798391[[#This Row],[ESTIMADO]]</f>
        <v>-122325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SUBTOTAL(9,TabelaDeRendimentos8131563798391[ESTIMADO])</f>
        <v>945222</v>
      </c>
      <c r="D9" s="13">
        <f>SUBTOTAL(9,TabelaDeRendimentos8131563798391[REAL])</f>
        <v>471216.5</v>
      </c>
      <c r="E9" s="13">
        <f>SUBTOTAL(9,TabelaDeRendimentos8131563798391[5 Maiores Quantias])</f>
        <v>471216.50002600002</v>
      </c>
      <c r="F9" s="13">
        <f>SUBTOTAL(9,TabelaDeRendimentos8131563798391[DIFERENÇA])</f>
        <v>-474005.5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TabelaDeDespesasDePessoal11161865[[#This Row],[ESTIMADO]]+TabelaDeDespesasDePessoal1116186581[[#This Row],[ESTIMADO]]</f>
        <v>2880</v>
      </c>
      <c r="D12" s="5">
        <f>TabelaDeDespesasDePessoal11161865[[#This Row],[REAL]]+TabelaDeDespesasDePessoal1116186581[[#This Row],[REAL]]</f>
        <v>1000</v>
      </c>
      <c r="E12" s="8">
        <f>TabelaDeDespesasDePessoal11161865818593[[#This Row],[REAL]]+(10^-6)*ROW(TabelaDeDespesasDePessoal11161865818593[[#This Row],[REAL]])</f>
        <v>1000.000012</v>
      </c>
      <c r="F12" s="5">
        <f>TabelaDeDespesasDePessoal11161865818593[[#This Row],[ESTIMADO]]-TabelaDeDespesasDePessoal11161865818593[[#This Row],[REAL]]</f>
        <v>1880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TabelaDeDespesasDePessoal11161865[[#This Row],[ESTIMADO]]+TabelaDeDespesasDePessoal1116186581[[#This Row],[ESTIMADO]]</f>
        <v>1800</v>
      </c>
      <c r="D13" s="5">
        <f>TabelaDeDespesasDePessoal11161865[[#This Row],[REAL]]+TabelaDeDespesasDePessoal1116186581[[#This Row],[REAL]]</f>
        <v>700</v>
      </c>
      <c r="E13" s="8">
        <f>TabelaDeDespesasDePessoal11161865818593[[#This Row],[REAL]]+(10^-6)*ROW(TabelaDeDespesasDePessoal11161865818593[[#This Row],[REAL]])</f>
        <v>700.00001299999997</v>
      </c>
      <c r="F13" s="5">
        <f>TabelaDeDespesasDePessoal11161865818593[[#This Row],[ESTIMADO]]-TabelaDeDespesasDePessoal11161865818593[[#This Row],[REAL]]</f>
        <v>1100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TabelaDeDespesasDePessoal11161865[[#This Row],[ESTIMADO]]+TabelaDeDespesasDePessoal1116186581[[#This Row],[ESTIMADO]]</f>
        <v>75000</v>
      </c>
      <c r="D14" s="5">
        <f>TabelaDeDespesasDePessoal11161865[[#This Row],[REAL]]+TabelaDeDespesasDePessoal1116186581[[#This Row],[REAL]]</f>
        <v>26000</v>
      </c>
      <c r="E14" s="8">
        <f>TabelaDeDespesasDePessoal11161865818593[[#This Row],[REAL]]+(10^-6)*ROW(TabelaDeDespesasDePessoal11161865818593[[#This Row],[REAL]])</f>
        <v>26000.000014000001</v>
      </c>
      <c r="F14" s="5">
        <f>TabelaDeDespesasDePessoal11161865818593[[#This Row],[ESTIMADO]]-TabelaDeDespesasDePessoal11161865818593[[#This Row],[REAL]]</f>
        <v>49000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TabelaDeDespesasDePessoal11161865[[#This Row],[ESTIMADO]]+TabelaDeDespesasDePessoal1116186581[[#This Row],[ESTIMADO]]</f>
        <v>90000</v>
      </c>
      <c r="D15" s="5">
        <f>TabelaDeDespesasDePessoal11161865[[#This Row],[REAL]]+TabelaDeDespesasDePessoal1116186581[[#This Row],[REAL]]</f>
        <v>29700</v>
      </c>
      <c r="E15" s="8">
        <f>TabelaDeDespesasDePessoal11161865818593[[#This Row],[REAL]]+(10^-6)*ROW(TabelaDeDespesasDePessoal11161865818593[[#This Row],[REAL]])</f>
        <v>29700.000015000001</v>
      </c>
      <c r="F15" s="5">
        <f>TabelaDeDespesasDePessoal11161865818593[[#This Row],[ESTIMADO]]-TabelaDeDespesasDePessoal11161865818593[[#This Row],[REAL]]</f>
        <v>60300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SUBTOTAL(9,TabelaDeDespesasDePessoal11161865818593[ESTIMADO])</f>
        <v>169680</v>
      </c>
      <c r="D16" s="12">
        <f>SUBTOTAL(9,TabelaDeDespesasDePessoal11161865818593[REAL])</f>
        <v>57400</v>
      </c>
      <c r="E16" s="12">
        <f>SUBTOTAL(9,TabelaDeDespesasDePessoal11161865818593[5 Maiores Quantias])</f>
        <v>57400.000054000004</v>
      </c>
      <c r="F16" s="12">
        <f>SUBTOTAL(9,TabelaDeDespesasDePessoal11161865818593[DIFERENÇA])</f>
        <v>112280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TabelaDeDespesasOperacionais7121462[[#This Row],[ESTIMADO]]+TabelaDeDespesasOperacionais712146278[[#This Row],[ESTIMADO]]</f>
        <v>180</v>
      </c>
      <c r="D19" s="8">
        <f>TabelaDeDespesasOperacionais7121462[[#This Row],[REAL]]+TabelaDeDespesasOperacionais712146278[[#This Row],[REAL]]</f>
        <v>90</v>
      </c>
      <c r="E19" s="8">
        <f>TabelaDeDespesasOperacionais7121462788290[[#This Row],[REAL]]+(10^-6)*ROW(TabelaDeDespesasOperacionais7121462788290[[#This Row],[REAL]])</f>
        <v>90.000018999999995</v>
      </c>
      <c r="F19" s="8">
        <f>TabelaDeDespesasOperacionais7121462788290[[#This Row],[ESTIMADO]]-TabelaDeDespesasOperacionais7121462788290[[#This Row],[REAL]]</f>
        <v>90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TabelaDeDespesasOperacionais7121462[[#This Row],[ESTIMADO]]+TabelaDeDespesasOperacionais712146278[[#This Row],[ESTIMADO]]</f>
        <v>2700</v>
      </c>
      <c r="D20" s="8">
        <f>TabelaDeDespesasOperacionais7121462[[#This Row],[REAL]]+TabelaDeDespesasOperacionais712146278[[#This Row],[REAL]]</f>
        <v>1350</v>
      </c>
      <c r="E20" s="8">
        <f>TabelaDeDespesasOperacionais7121462788290[[#This Row],[REAL]]+(10^-6)*ROW(TabelaDeDespesasOperacionais7121462788290[[#This Row],[REAL]])</f>
        <v>1350.0000199999999</v>
      </c>
      <c r="F20" s="8">
        <f>TabelaDeDespesasOperacionais7121462788290[[#This Row],[ESTIMADO]]-TabelaDeDespesasOperacionais7121462788290[[#This Row],[REAL]]</f>
        <v>1350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TabelaDeDespesasOperacionais7121462[[#This Row],[ESTIMADO]]+TabelaDeDespesasOperacionais712146278[[#This Row],[ESTIMADO]]</f>
        <v>7200</v>
      </c>
      <c r="D21" s="8">
        <f>TabelaDeDespesasOperacionais7121462[[#This Row],[REAL]]+TabelaDeDespesasOperacionais712146278[[#This Row],[REAL]]</f>
        <v>4550</v>
      </c>
      <c r="E21" s="8">
        <f>TabelaDeDespesasOperacionais7121462788290[[#This Row],[REAL]]+(10^-6)*ROW(TabelaDeDespesasOperacionais7121462788290[[#This Row],[REAL]])</f>
        <v>4550.0000209999998</v>
      </c>
      <c r="F21" s="8">
        <f>TabelaDeDespesasOperacionais7121462788290[[#This Row],[ESTIMADO]]-TabelaDeDespesasOperacionais7121462788290[[#This Row],[REAL]]</f>
        <v>2650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TabelaDeDespesasOperacionais7121462[[#This Row],[ESTIMADO]]+TabelaDeDespesasOperacionais712146278[[#This Row],[ESTIMADO]]</f>
        <v>15000</v>
      </c>
      <c r="D22" s="8">
        <f>TabelaDeDespesasOperacionais7121462[[#This Row],[REAL]]+TabelaDeDespesasOperacionais712146278[[#This Row],[REAL]]</f>
        <v>5450</v>
      </c>
      <c r="E22" s="8">
        <f>TabelaDeDespesasOperacionais7121462788290[[#This Row],[REAL]]+(10^-6)*ROW(TabelaDeDespesasOperacionais7121462788290[[#This Row],[REAL]])</f>
        <v>5450.0000220000002</v>
      </c>
      <c r="F22" s="8">
        <f>TabelaDeDespesasOperacionais7121462788290[[#This Row],[ESTIMADO]]-TabelaDeDespesasOperacionais7121462788290[[#This Row],[REAL]]</f>
        <v>9550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TabelaDeDespesasOperacionais7121462[[#This Row],[ESTIMADO]]+TabelaDeDespesasOperacionais712146278[[#This Row],[ESTIMADO]]</f>
        <v>36000</v>
      </c>
      <c r="D23" s="8">
        <f>TabelaDeDespesasOperacionais7121462[[#This Row],[REAL]]+TabelaDeDespesasOperacionais712146278[[#This Row],[REAL]]</f>
        <v>18000</v>
      </c>
      <c r="E23" s="8">
        <f>TabelaDeDespesasOperacionais7121462788290[[#This Row],[REAL]]+(10^-6)*ROW(TabelaDeDespesasOperacionais7121462788290[[#This Row],[REAL]])</f>
        <v>18000.000023000001</v>
      </c>
      <c r="F23" s="8">
        <f>TabelaDeDespesasOperacionais7121462788290[[#This Row],[ESTIMADO]]-TabelaDeDespesasOperacionais7121462788290[[#This Row],[REAL]]</f>
        <v>18000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TabelaDeDespesasOperacionais7121462[[#This Row],[ESTIMADO]]+TabelaDeDespesasOperacionais712146278[[#This Row],[ESTIMADO]]</f>
        <v>1500</v>
      </c>
      <c r="D24" s="8">
        <f>TabelaDeDespesasOperacionais7121462[[#This Row],[REAL]]+TabelaDeDespesasOperacionais712146278[[#This Row],[REAL]]</f>
        <v>750</v>
      </c>
      <c r="E24" s="8">
        <f>TabelaDeDespesasOperacionais7121462788290[[#This Row],[REAL]]+(10^-6)*ROW(TabelaDeDespesasOperacionais7121462788290[[#This Row],[REAL]])</f>
        <v>750.00002400000005</v>
      </c>
      <c r="F24" s="8">
        <f>TabelaDeDespesasOperacionais7121462788290[[#This Row],[ESTIMADO]]-TabelaDeDespesasOperacionais7121462788290[[#This Row],[REAL]]</f>
        <v>750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TabelaDeDespesasOperacionais7121462[[#This Row],[ESTIMADO]]+TabelaDeDespesasOperacionais712146278[[#This Row],[ESTIMADO]]</f>
        <v>1800</v>
      </c>
      <c r="D25" s="8">
        <f>TabelaDeDespesasOperacionais7121462[[#This Row],[REAL]]+TabelaDeDespesasOperacionais712146278[[#This Row],[REAL]]</f>
        <v>1180</v>
      </c>
      <c r="E25" s="8">
        <f>TabelaDeDespesasOperacionais7121462788290[[#This Row],[REAL]]+(10^-6)*ROW(TabelaDeDespesasOperacionais7121462788290[[#This Row],[REAL]])</f>
        <v>1180.0000250000001</v>
      </c>
      <c r="F25" s="8">
        <f>TabelaDeDespesasOperacionais7121462788290[[#This Row],[ESTIMADO]]-TabelaDeDespesasOperacionais7121462788290[[#This Row],[REAL]]</f>
        <v>620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TabelaDeDespesasOperacionais7121462[[#This Row],[ESTIMADO]]+TabelaDeDespesasOperacionais712146278[[#This Row],[ESTIMADO]]</f>
        <v>2700</v>
      </c>
      <c r="D26" s="8">
        <f>TabelaDeDespesasOperacionais7121462[[#This Row],[REAL]]+TabelaDeDespesasOperacionais712146278[[#This Row],[REAL]]</f>
        <v>1295</v>
      </c>
      <c r="E26" s="8">
        <f>TabelaDeDespesasOperacionais7121462788290[[#This Row],[REAL]]+(10^-6)*ROW(TabelaDeDespesasOperacionais7121462788290[[#This Row],[REAL]])</f>
        <v>1295.0000259999999</v>
      </c>
      <c r="F26" s="8">
        <f>TabelaDeDespesasOperacionais7121462788290[[#This Row],[ESTIMADO]]-TabelaDeDespesasOperacionais7121462788290[[#This Row],[REAL]]</f>
        <v>1405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TabelaDeDespesasOperacionais7121462[[#This Row],[ESTIMADO]]+TabelaDeDespesasOperacionais712146278[[#This Row],[ESTIMADO]]</f>
        <v>1500</v>
      </c>
      <c r="D27" s="8">
        <f>TabelaDeDespesasOperacionais7121462[[#This Row],[REAL]]+TabelaDeDespesasOperacionais712146278[[#This Row],[REAL]]</f>
        <v>375</v>
      </c>
      <c r="E27" s="8">
        <f>TabelaDeDespesasOperacionais7121462788290[[#This Row],[REAL]]+(10^-6)*ROW(TabelaDeDespesasOperacionais7121462788290[[#This Row],[REAL]])</f>
        <v>375.00002699999999</v>
      </c>
      <c r="F27" s="8">
        <f>TabelaDeDespesasOperacionais7121462788290[[#This Row],[ESTIMADO]]-TabelaDeDespesasOperacionais7121462788290[[#This Row],[REAL]]</f>
        <v>1125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TabelaDeDespesasOperacionais7121462[[#This Row],[ESTIMADO]]+TabelaDeDespesasOperacionais712146278[[#This Row],[ESTIMADO]]</f>
        <v>900</v>
      </c>
      <c r="D28" s="8">
        <f>TabelaDeDespesasOperacionais7121462[[#This Row],[REAL]]+TabelaDeDespesasOperacionais712146278[[#This Row],[REAL]]</f>
        <v>490</v>
      </c>
      <c r="E28" s="8">
        <f>TabelaDeDespesasOperacionais7121462788290[[#This Row],[REAL]]+(10^-6)*ROW(TabelaDeDespesasOperacionais7121462788290[[#This Row],[REAL]])</f>
        <v>490.00002799999999</v>
      </c>
      <c r="F28" s="8">
        <f>TabelaDeDespesasOperacionais7121462788290[[#This Row],[ESTIMADO]]-TabelaDeDespesasOperacionais7121462788290[[#This Row],[REAL]]</f>
        <v>410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TabelaDeDespesasOperacionais7121462[[#This Row],[ESTIMADO]]+TabelaDeDespesasOperacionais712146278[[#This Row],[ESTIMADO]]</f>
        <v>27000</v>
      </c>
      <c r="D29" s="8">
        <f>TabelaDeDespesasOperacionais7121462[[#This Row],[REAL]]+TabelaDeDespesasOperacionais712146278[[#This Row],[REAL]]</f>
        <v>14700</v>
      </c>
      <c r="E29" s="8">
        <f>TabelaDeDespesasOperacionais7121462788290[[#This Row],[REAL]]+(10^-6)*ROW(TabelaDeDespesasOperacionais7121462788290[[#This Row],[REAL]])</f>
        <v>14700.000029000001</v>
      </c>
      <c r="F29" s="8">
        <f>TabelaDeDespesasOperacionais7121462788290[[#This Row],[ESTIMADO]]-TabelaDeDespesasOperacionais7121462788290[[#This Row],[REAL]]</f>
        <v>12300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TabelaDeDespesasOperacionais7121462[[#This Row],[ESTIMADO]]+TabelaDeDespesasOperacionais712146278[[#This Row],[ESTIMADO]]</f>
        <v>9000</v>
      </c>
      <c r="D30" s="8">
        <f>TabelaDeDespesasOperacionais7121462[[#This Row],[REAL]]+TabelaDeDespesasOperacionais712146278[[#This Row],[REAL]]</f>
        <v>4350</v>
      </c>
      <c r="E30" s="8">
        <f>TabelaDeDespesasOperacionais7121462788290[[#This Row],[REAL]]+(10^-6)*ROW(TabelaDeDespesasOperacionais7121462788290[[#This Row],[REAL]])</f>
        <v>4350.0000300000002</v>
      </c>
      <c r="F30" s="8">
        <f>TabelaDeDespesasOperacionais7121462788290[[#This Row],[ESTIMADO]]-TabelaDeDespesasOperacionais7121462788290[[#This Row],[REAL]]</f>
        <v>4650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SUBTOTAL(9,TabelaDeDespesasOperacionais7121462788290[ESTIMADO])</f>
        <v>105480</v>
      </c>
      <c r="D31" s="12">
        <f>SUBTOTAL(9,TabelaDeDespesasOperacionais7121462788290[REAL])</f>
        <v>52580</v>
      </c>
      <c r="E31" s="12">
        <f>SUBTOTAL(9,TabelaDeDespesasOperacionais7121462788290[5 Maiores Quantias])</f>
        <v>52580.000294000012</v>
      </c>
      <c r="F31" s="12">
        <f>SUBTOTAL(9,TabelaDeDespesasOperacionais7121462788290[DIFERENÇA])</f>
        <v>52900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" x14ac:dyDescent="0.25"/>
    <row r="34" s="1" customFormat="1" ht="15" x14ac:dyDescent="0.25"/>
    <row r="35" s="1" customFormat="1" ht="15" x14ac:dyDescent="0.25"/>
    <row r="36" s="1" customFormat="1" ht="15" x14ac:dyDescent="0.25"/>
    <row r="37" s="1" customFormat="1" ht="15" x14ac:dyDescent="0.25"/>
    <row r="38" s="1" customFormat="1" ht="15" x14ac:dyDescent="0.25"/>
    <row r="39" s="1" customFormat="1" ht="15" x14ac:dyDescent="0.25"/>
    <row r="40" s="1" customFormat="1" ht="15" x14ac:dyDescent="0.25"/>
    <row r="41" s="1" customFormat="1" ht="15" x14ac:dyDescent="0.25"/>
    <row r="42" s="1" customFormat="1" ht="15" x14ac:dyDescent="0.25"/>
    <row r="43" s="1" customFormat="1" ht="15" x14ac:dyDescent="0.25"/>
    <row r="44" s="1" customFormat="1" ht="15" x14ac:dyDescent="0.25"/>
    <row r="45" s="1" customFormat="1" ht="15" x14ac:dyDescent="0.25"/>
    <row r="46" s="1" customFormat="1" ht="15" x14ac:dyDescent="0.25"/>
    <row r="47" s="1" customFormat="1" ht="15" x14ac:dyDescent="0.25"/>
    <row r="48" s="1" customFormat="1" ht="15" x14ac:dyDescent="0.25"/>
    <row r="49" s="1" customFormat="1" ht="15" x14ac:dyDescent="0.25"/>
    <row r="50" s="1" customFormat="1" ht="15" x14ac:dyDescent="0.25"/>
    <row r="51" s="1" customFormat="1" ht="15" x14ac:dyDescent="0.25"/>
    <row r="52" s="1" customFormat="1" ht="15" x14ac:dyDescent="0.25"/>
    <row r="53" s="1" customFormat="1" ht="15" x14ac:dyDescent="0.25"/>
    <row r="54" s="1" customFormat="1" ht="15" x14ac:dyDescent="0.25"/>
    <row r="55" s="1" customFormat="1" ht="15" x14ac:dyDescent="0.25"/>
    <row r="56" s="1" customFormat="1" ht="15" x14ac:dyDescent="0.25"/>
    <row r="57" s="1" customFormat="1" ht="15" x14ac:dyDescent="0.25"/>
    <row r="58" s="1" customFormat="1" ht="15" x14ac:dyDescent="0.25"/>
    <row r="59" s="1" customFormat="1" ht="15" x14ac:dyDescent="0.25"/>
    <row r="60" s="1" customFormat="1" ht="15" x14ac:dyDescent="0.25"/>
    <row r="61" s="1" customFormat="1" ht="15" x14ac:dyDescent="0.25"/>
    <row r="62" s="1" customFormat="1" ht="15" x14ac:dyDescent="0.25"/>
    <row r="63" s="1" customFormat="1" ht="15" x14ac:dyDescent="0.25"/>
    <row r="64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  <row r="79" s="1" customFormat="1" ht="15" x14ac:dyDescent="0.25"/>
    <row r="80" s="1" customFormat="1" ht="15" x14ac:dyDescent="0.25"/>
    <row r="81" s="1" customFormat="1" ht="15" x14ac:dyDescent="0.25"/>
    <row r="82" s="1" customFormat="1" ht="15" x14ac:dyDescent="0.25"/>
    <row r="83" s="1" customFormat="1" ht="15" x14ac:dyDescent="0.25"/>
    <row r="84" s="1" customFormat="1" ht="15" x14ac:dyDescent="0.25"/>
    <row r="85" s="1" customFormat="1" ht="15" x14ac:dyDescent="0.25"/>
    <row r="86" s="1" customFormat="1" ht="15" x14ac:dyDescent="0.25"/>
    <row r="87" s="1" customFormat="1" ht="15" x14ac:dyDescent="0.25"/>
    <row r="88" s="1" customFormat="1" ht="15" x14ac:dyDescent="0.25"/>
    <row r="89" s="1" customFormat="1" ht="15" x14ac:dyDescent="0.25"/>
    <row r="90" s="1" customFormat="1" ht="15" x14ac:dyDescent="0.25"/>
    <row r="91" s="1" customFormat="1" ht="15" x14ac:dyDescent="0.25"/>
    <row r="92" s="1" customFormat="1" ht="15" x14ac:dyDescent="0.25"/>
    <row r="93" s="1" customFormat="1" ht="15" x14ac:dyDescent="0.25"/>
    <row r="94" s="1" customFormat="1" ht="15" x14ac:dyDescent="0.25"/>
    <row r="95" s="1" customFormat="1" ht="15" x14ac:dyDescent="0.25"/>
    <row r="96" s="1" customFormat="1" ht="15" x14ac:dyDescent="0.25"/>
    <row r="97" s="1" customFormat="1" ht="15" x14ac:dyDescent="0.25"/>
    <row r="98" s="1" customFormat="1" ht="15" x14ac:dyDescent="0.25"/>
    <row r="99" s="1" customFormat="1" ht="15" x14ac:dyDescent="0.25"/>
    <row r="100" s="1" customFormat="1" ht="15" x14ac:dyDescent="0.25"/>
    <row r="101" s="1" customFormat="1" ht="15" x14ac:dyDescent="0.25"/>
    <row r="102" s="1" customFormat="1" ht="15" x14ac:dyDescent="0.25"/>
    <row r="103" s="1" customFormat="1" ht="15" x14ac:dyDescent="0.25"/>
    <row r="104" s="1" customFormat="1" ht="15" x14ac:dyDescent="0.25"/>
    <row r="105" s="1" customFormat="1" ht="15" x14ac:dyDescent="0.25"/>
    <row r="106" s="1" customFormat="1" ht="15" x14ac:dyDescent="0.25"/>
    <row r="107" s="1" customFormat="1" ht="15" x14ac:dyDescent="0.25"/>
    <row r="108" s="1" customFormat="1" ht="15" x14ac:dyDescent="0.25"/>
    <row r="109" s="1" customFormat="1" ht="15" x14ac:dyDescent="0.25"/>
    <row r="110" s="1" customFormat="1" ht="15" x14ac:dyDescent="0.25"/>
    <row r="111" s="1" customFormat="1" ht="15" x14ac:dyDescent="0.25"/>
    <row r="112" s="1" customFormat="1" ht="15" x14ac:dyDescent="0.25"/>
    <row r="113" s="1" customFormat="1" ht="15" x14ac:dyDescent="0.25"/>
    <row r="114" s="1" customFormat="1" ht="15" x14ac:dyDescent="0.25"/>
    <row r="115" s="1" customFormat="1" ht="15" x14ac:dyDescent="0.25"/>
    <row r="116" s="1" customFormat="1" ht="15" x14ac:dyDescent="0.25"/>
    <row r="117" s="1" customFormat="1" ht="15" x14ac:dyDescent="0.25"/>
    <row r="118" s="1" customFormat="1" ht="15" x14ac:dyDescent="0.25"/>
    <row r="119" s="1" customFormat="1" ht="15" x14ac:dyDescent="0.25"/>
    <row r="120" s="1" customFormat="1" ht="15" x14ac:dyDescent="0.25"/>
    <row r="121" s="1" customFormat="1" ht="15" x14ac:dyDescent="0.25"/>
    <row r="122" s="1" customFormat="1" ht="15" x14ac:dyDescent="0.25"/>
    <row r="123" s="1" customFormat="1" ht="15" x14ac:dyDescent="0.25"/>
    <row r="124" s="1" customFormat="1" ht="15" x14ac:dyDescent="0.25"/>
    <row r="125" s="1" customFormat="1" ht="15" x14ac:dyDescent="0.25"/>
    <row r="126" s="1" customFormat="1" ht="15" x14ac:dyDescent="0.25"/>
    <row r="127" s="1" customFormat="1" ht="15" x14ac:dyDescent="0.25"/>
    <row r="128" s="1" customFormat="1" ht="15" x14ac:dyDescent="0.25"/>
    <row r="129" s="1" customFormat="1" ht="15" x14ac:dyDescent="0.25"/>
    <row r="130" s="1" customFormat="1" ht="15" x14ac:dyDescent="0.25"/>
    <row r="131" s="1" customFormat="1" ht="15" x14ac:dyDescent="0.25"/>
    <row r="132" s="1" customFormat="1" ht="15" x14ac:dyDescent="0.25"/>
    <row r="133" s="1" customFormat="1" ht="15" x14ac:dyDescent="0.25"/>
    <row r="134" s="1" customFormat="1" ht="15" x14ac:dyDescent="0.25"/>
    <row r="135" s="1" customFormat="1" ht="15" x14ac:dyDescent="0.25"/>
    <row r="136" s="1" customFormat="1" ht="15" x14ac:dyDescent="0.25"/>
    <row r="137" s="1" customFormat="1" ht="15" x14ac:dyDescent="0.25"/>
    <row r="138" s="1" customFormat="1" ht="15" x14ac:dyDescent="0.25"/>
    <row r="139" s="1" customFormat="1" ht="15" x14ac:dyDescent="0.25"/>
    <row r="140" s="1" customFormat="1" ht="15" x14ac:dyDescent="0.25"/>
    <row r="141" s="1" customFormat="1" ht="15" x14ac:dyDescent="0.25"/>
    <row r="142" s="1" customFormat="1" ht="15" x14ac:dyDescent="0.25"/>
    <row r="143" s="1" customFormat="1" ht="15" x14ac:dyDescent="0.25"/>
    <row r="144" s="1" customFormat="1" ht="15" x14ac:dyDescent="0.25"/>
    <row r="145" s="1" customFormat="1" ht="15" x14ac:dyDescent="0.25"/>
    <row r="146" s="1" customFormat="1" ht="15" x14ac:dyDescent="0.25"/>
    <row r="147" s="1" customFormat="1" ht="15" x14ac:dyDescent="0.25"/>
    <row r="148" s="1" customFormat="1" ht="15" x14ac:dyDescent="0.25"/>
    <row r="149" s="1" customFormat="1" ht="15" x14ac:dyDescent="0.25"/>
    <row r="150" s="1" customFormat="1" ht="15" x14ac:dyDescent="0.25"/>
    <row r="151" s="1" customFormat="1" ht="15" x14ac:dyDescent="0.25"/>
    <row r="152" s="1" customFormat="1" ht="15" x14ac:dyDescent="0.25"/>
    <row r="153" s="1" customFormat="1" ht="15" x14ac:dyDescent="0.25"/>
    <row r="154" s="1" customFormat="1" ht="15" x14ac:dyDescent="0.25"/>
    <row r="155" s="1" customFormat="1" ht="15" x14ac:dyDescent="0.25"/>
    <row r="156" s="1" customFormat="1" ht="15" x14ac:dyDescent="0.25"/>
    <row r="157" s="1" customFormat="1" ht="15" x14ac:dyDescent="0.25"/>
    <row r="158" s="1" customFormat="1" ht="15" x14ac:dyDescent="0.25"/>
    <row r="159" s="1" customFormat="1" ht="15" x14ac:dyDescent="0.25"/>
    <row r="160" s="1" customFormat="1" ht="15" x14ac:dyDescent="0.25"/>
    <row r="161" s="1" customFormat="1" ht="15" x14ac:dyDescent="0.25"/>
    <row r="162" s="1" customFormat="1" ht="15" x14ac:dyDescent="0.25"/>
    <row r="163" s="1" customFormat="1" ht="15" x14ac:dyDescent="0.25"/>
    <row r="164" s="1" customFormat="1" ht="15" x14ac:dyDescent="0.25"/>
    <row r="165" s="1" customFormat="1" ht="15" x14ac:dyDescent="0.25"/>
    <row r="166" s="1" customFormat="1" ht="15" x14ac:dyDescent="0.25"/>
    <row r="167" s="1" customFormat="1" ht="15" x14ac:dyDescent="0.25"/>
    <row r="168" s="1" customFormat="1" ht="15" x14ac:dyDescent="0.25"/>
    <row r="169" s="1" customFormat="1" ht="15" x14ac:dyDescent="0.25"/>
    <row r="170" s="1" customFormat="1" ht="15" x14ac:dyDescent="0.25"/>
    <row r="171" s="1" customFormat="1" ht="15" x14ac:dyDescent="0.25"/>
    <row r="172" s="1" customFormat="1" ht="15" x14ac:dyDescent="0.25"/>
    <row r="173" s="1" customFormat="1" ht="15" x14ac:dyDescent="0.25"/>
    <row r="174" s="1" customFormat="1" ht="15" x14ac:dyDescent="0.25"/>
    <row r="175" s="1" customFormat="1" ht="15" x14ac:dyDescent="0.25"/>
    <row r="176" s="1" customFormat="1" ht="15" x14ac:dyDescent="0.25"/>
    <row r="177" s="1" customFormat="1" ht="15" x14ac:dyDescent="0.25"/>
    <row r="178" s="1" customFormat="1" ht="15" x14ac:dyDescent="0.25"/>
    <row r="179" s="1" customFormat="1" ht="15" x14ac:dyDescent="0.25"/>
    <row r="180" s="1" customFormat="1" ht="15" x14ac:dyDescent="0.25"/>
    <row r="181" s="1" customFormat="1" ht="15" x14ac:dyDescent="0.25"/>
    <row r="182" s="1" customFormat="1" ht="15" x14ac:dyDescent="0.25"/>
    <row r="183" s="1" customFormat="1" ht="15" x14ac:dyDescent="0.25"/>
    <row r="184" s="1" customFormat="1" ht="15" x14ac:dyDescent="0.25"/>
    <row r="185" s="1" customFormat="1" ht="15" x14ac:dyDescent="0.25"/>
    <row r="186" s="1" customFormat="1" ht="15" x14ac:dyDescent="0.25"/>
    <row r="187" s="1" customFormat="1" ht="15" x14ac:dyDescent="0.25"/>
    <row r="188" s="1" customFormat="1" ht="15" x14ac:dyDescent="0.25"/>
    <row r="189" s="1" customFormat="1" ht="15" x14ac:dyDescent="0.25"/>
    <row r="190" s="1" customFormat="1" ht="15" x14ac:dyDescent="0.25"/>
    <row r="191" s="1" customFormat="1" ht="15" x14ac:dyDescent="0.25"/>
    <row r="192" s="1" customFormat="1" ht="15" x14ac:dyDescent="0.25"/>
    <row r="193" s="1" customFormat="1" ht="15" x14ac:dyDescent="0.25"/>
    <row r="194" s="1" customFormat="1" ht="15" x14ac:dyDescent="0.25"/>
    <row r="195" s="1" customFormat="1" ht="15" x14ac:dyDescent="0.25"/>
    <row r="196" s="1" customFormat="1" ht="15" x14ac:dyDescent="0.25"/>
    <row r="197" s="1" customFormat="1" ht="15" x14ac:dyDescent="0.25"/>
    <row r="198" s="1" customFormat="1" ht="15" x14ac:dyDescent="0.25"/>
    <row r="199" s="1" customFormat="1" ht="15" x14ac:dyDescent="0.25"/>
    <row r="200" s="1" customFormat="1" ht="15" x14ac:dyDescent="0.25"/>
    <row r="201" s="1" customFormat="1" ht="15" x14ac:dyDescent="0.25"/>
    <row r="202" s="1" customFormat="1" ht="15" x14ac:dyDescent="0.25"/>
    <row r="203" s="1" customFormat="1" ht="15" x14ac:dyDescent="0.25"/>
    <row r="204" s="1" customFormat="1" ht="15" x14ac:dyDescent="0.25"/>
    <row r="205" s="1" customFormat="1" ht="15" x14ac:dyDescent="0.25"/>
    <row r="206" s="1" customFormat="1" ht="15" x14ac:dyDescent="0.25"/>
    <row r="207" s="1" customFormat="1" ht="15" x14ac:dyDescent="0.25"/>
    <row r="208" s="1" customFormat="1" ht="15" x14ac:dyDescent="0.25"/>
    <row r="209" s="1" customFormat="1" ht="15" x14ac:dyDescent="0.25"/>
    <row r="210" s="1" customFormat="1" ht="15" x14ac:dyDescent="0.25"/>
    <row r="211" s="1" customFormat="1" ht="15" x14ac:dyDescent="0.25"/>
    <row r="212" s="1" customFormat="1" ht="15" x14ac:dyDescent="0.25"/>
    <row r="213" s="1" customFormat="1" ht="15" x14ac:dyDescent="0.25"/>
    <row r="214" s="1" customFormat="1" ht="15" x14ac:dyDescent="0.25"/>
    <row r="215" s="1" customFormat="1" ht="15" x14ac:dyDescent="0.25"/>
    <row r="216" s="1" customFormat="1" ht="15" x14ac:dyDescent="0.25"/>
    <row r="217" s="1" customFormat="1" ht="15" x14ac:dyDescent="0.25"/>
    <row r="218" s="1" customFormat="1" ht="15" x14ac:dyDescent="0.25"/>
    <row r="219" s="1" customFormat="1" ht="15" x14ac:dyDescent="0.25"/>
    <row r="220" s="1" customFormat="1" ht="15" x14ac:dyDescent="0.25"/>
    <row r="221" s="1" customFormat="1" ht="15" x14ac:dyDescent="0.25"/>
    <row r="222" s="1" customFormat="1" ht="15" x14ac:dyDescent="0.25"/>
    <row r="223" s="1" customFormat="1" ht="15" x14ac:dyDescent="0.25"/>
    <row r="224" s="1" customFormat="1" ht="15" x14ac:dyDescent="0.25"/>
    <row r="225" s="1" customFormat="1" ht="15" x14ac:dyDescent="0.25"/>
    <row r="226" s="1" customFormat="1" ht="15" x14ac:dyDescent="0.25"/>
    <row r="227" s="1" customFormat="1" ht="15" x14ac:dyDescent="0.25"/>
    <row r="228" s="1" customFormat="1" ht="15" x14ac:dyDescent="0.25"/>
    <row r="229" s="1" customFormat="1" ht="15" x14ac:dyDescent="0.25"/>
    <row r="230" s="1" customFormat="1" ht="15" x14ac:dyDescent="0.25"/>
    <row r="231" s="1" customFormat="1" ht="15" x14ac:dyDescent="0.25"/>
    <row r="232" s="1" customFormat="1" ht="15" x14ac:dyDescent="0.25"/>
    <row r="233" s="1" customFormat="1" ht="15" x14ac:dyDescent="0.25"/>
    <row r="234" s="1" customFormat="1" ht="15" x14ac:dyDescent="0.25"/>
    <row r="235" s="1" customFormat="1" ht="15" x14ac:dyDescent="0.25"/>
    <row r="236" s="1" customFormat="1" ht="15" x14ac:dyDescent="0.25"/>
    <row r="237" s="1" customFormat="1" ht="15" x14ac:dyDescent="0.25"/>
    <row r="238" s="1" customFormat="1" ht="15" x14ac:dyDescent="0.25"/>
    <row r="239" s="1" customFormat="1" ht="15" x14ac:dyDescent="0.25"/>
    <row r="240" s="1" customFormat="1" ht="15" x14ac:dyDescent="0.25"/>
    <row r="241" s="1" customFormat="1" ht="15" x14ac:dyDescent="0.25"/>
    <row r="242" s="1" customFormat="1" ht="15" x14ac:dyDescent="0.25"/>
    <row r="243" s="1" customFormat="1" ht="15" x14ac:dyDescent="0.25"/>
    <row r="244" s="1" customFormat="1" ht="15" x14ac:dyDescent="0.25"/>
    <row r="245" s="1" customFormat="1" ht="15" x14ac:dyDescent="0.25"/>
    <row r="246" s="1" customFormat="1" ht="15" x14ac:dyDescent="0.25"/>
    <row r="247" s="1" customFormat="1" ht="15" x14ac:dyDescent="0.25"/>
    <row r="248" s="1" customFormat="1" ht="15" x14ac:dyDescent="0.25"/>
    <row r="249" s="1" customFormat="1" ht="15" x14ac:dyDescent="0.25"/>
    <row r="250" s="1" customFormat="1" ht="15" x14ac:dyDescent="0.25"/>
    <row r="251" s="1" customFormat="1" ht="15" x14ac:dyDescent="0.25"/>
    <row r="252" s="1" customFormat="1" ht="15" x14ac:dyDescent="0.25"/>
    <row r="253" s="1" customFormat="1" ht="15" x14ac:dyDescent="0.25"/>
    <row r="254" s="1" customFormat="1" ht="15" x14ac:dyDescent="0.25"/>
    <row r="255" s="1" customFormat="1" ht="15" x14ac:dyDescent="0.25"/>
    <row r="256" s="1" customFormat="1" ht="15" x14ac:dyDescent="0.25"/>
    <row r="257" s="1" customFormat="1" ht="15" x14ac:dyDescent="0.25"/>
    <row r="258" s="1" customFormat="1" ht="15" x14ac:dyDescent="0.25"/>
    <row r="259" s="1" customFormat="1" ht="15" x14ac:dyDescent="0.25"/>
    <row r="260" s="1" customFormat="1" ht="15" x14ac:dyDescent="0.25"/>
    <row r="261" s="1" customFormat="1" ht="15" x14ac:dyDescent="0.25"/>
    <row r="262" s="1" customFormat="1" ht="15" x14ac:dyDescent="0.25"/>
    <row r="263" s="1" customFormat="1" ht="15" x14ac:dyDescent="0.25"/>
    <row r="264" s="1" customFormat="1" ht="15" x14ac:dyDescent="0.25"/>
    <row r="265" s="1" customFormat="1" ht="15" x14ac:dyDescent="0.25"/>
    <row r="266" s="1" customFormat="1" ht="15" x14ac:dyDescent="0.25"/>
    <row r="267" s="1" customFormat="1" ht="15" x14ac:dyDescent="0.25"/>
    <row r="268" s="1" customFormat="1" ht="15" x14ac:dyDescent="0.25"/>
    <row r="269" s="1" customFormat="1" ht="15" x14ac:dyDescent="0.25"/>
    <row r="270" s="1" customFormat="1" ht="15" x14ac:dyDescent="0.25"/>
    <row r="271" s="1" customFormat="1" ht="15" x14ac:dyDescent="0.25"/>
    <row r="272" s="1" customFormat="1" ht="15" x14ac:dyDescent="0.25"/>
    <row r="273" s="1" customFormat="1" ht="15" x14ac:dyDescent="0.25"/>
    <row r="274" s="1" customFormat="1" ht="15" x14ac:dyDescent="0.25"/>
    <row r="275" s="1" customFormat="1" ht="15" x14ac:dyDescent="0.25"/>
    <row r="276" s="1" customFormat="1" ht="15" x14ac:dyDescent="0.25"/>
    <row r="277" s="1" customFormat="1" ht="15" x14ac:dyDescent="0.25"/>
    <row r="278" s="1" customFormat="1" ht="15" x14ac:dyDescent="0.25"/>
    <row r="279" s="1" customFormat="1" ht="15" x14ac:dyDescent="0.25"/>
    <row r="280" s="1" customFormat="1" ht="15" x14ac:dyDescent="0.25"/>
    <row r="281" s="1" customFormat="1" ht="15" x14ac:dyDescent="0.25"/>
    <row r="282" s="1" customFormat="1" ht="15" x14ac:dyDescent="0.25"/>
    <row r="283" s="1" customFormat="1" ht="15" x14ac:dyDescent="0.25"/>
    <row r="284" s="1" customFormat="1" ht="15" x14ac:dyDescent="0.25"/>
    <row r="285" s="1" customFormat="1" ht="15" x14ac:dyDescent="0.25"/>
    <row r="286" s="1" customFormat="1" ht="15" x14ac:dyDescent="0.25"/>
    <row r="287" s="1" customFormat="1" ht="15" x14ac:dyDescent="0.25"/>
    <row r="288" s="1" customFormat="1" ht="15" x14ac:dyDescent="0.25"/>
    <row r="289" s="1" customFormat="1" ht="15" x14ac:dyDescent="0.25"/>
    <row r="290" s="1" customFormat="1" ht="15" x14ac:dyDescent="0.25"/>
    <row r="291" s="1" customFormat="1" ht="15" x14ac:dyDescent="0.25"/>
    <row r="292" s="1" customFormat="1" ht="15" x14ac:dyDescent="0.25"/>
    <row r="293" s="1" customFormat="1" ht="15" x14ac:dyDescent="0.25"/>
    <row r="294" s="1" customFormat="1" ht="15" x14ac:dyDescent="0.25"/>
    <row r="295" s="1" customFormat="1" ht="15" x14ac:dyDescent="0.25"/>
    <row r="296" s="1" customFormat="1" ht="15" x14ac:dyDescent="0.25"/>
    <row r="297" s="1" customFormat="1" ht="15" x14ac:dyDescent="0.25"/>
    <row r="298" s="1" customFormat="1" ht="15" x14ac:dyDescent="0.25"/>
    <row r="299" s="1" customFormat="1" ht="15" x14ac:dyDescent="0.25"/>
    <row r="300" s="1" customFormat="1" ht="15" x14ac:dyDescent="0.25"/>
    <row r="301" s="1" customFormat="1" ht="15" x14ac:dyDescent="0.25"/>
    <row r="302" s="1" customFormat="1" ht="15" x14ac:dyDescent="0.25"/>
    <row r="303" s="1" customFormat="1" ht="15" x14ac:dyDescent="0.25"/>
    <row r="304" s="1" customFormat="1" ht="15" x14ac:dyDescent="0.25"/>
    <row r="305" s="1" customFormat="1" ht="15" x14ac:dyDescent="0.25"/>
    <row r="306" s="1" customFormat="1" ht="15" x14ac:dyDescent="0.25"/>
    <row r="307" s="1" customFormat="1" ht="15" x14ac:dyDescent="0.25"/>
    <row r="308" s="1" customFormat="1" ht="15" x14ac:dyDescent="0.25"/>
    <row r="309" s="1" customFormat="1" ht="15" x14ac:dyDescent="0.25"/>
    <row r="310" s="1" customFormat="1" ht="15" x14ac:dyDescent="0.25"/>
    <row r="311" s="1" customFormat="1" ht="15" x14ac:dyDescent="0.25"/>
    <row r="312" s="1" customFormat="1" ht="15" x14ac:dyDescent="0.25"/>
    <row r="313" s="1" customFormat="1" ht="15" x14ac:dyDescent="0.25"/>
    <row r="314" s="1" customFormat="1" ht="15" x14ac:dyDescent="0.25"/>
    <row r="315" s="1" customFormat="1" ht="15" x14ac:dyDescent="0.25"/>
    <row r="316" s="1" customFormat="1" ht="15" x14ac:dyDescent="0.25"/>
    <row r="317" s="1" customFormat="1" ht="15" x14ac:dyDescent="0.25"/>
    <row r="318" s="1" customFormat="1" ht="15" x14ac:dyDescent="0.25"/>
    <row r="319" s="1" customFormat="1" ht="15" x14ac:dyDescent="0.25"/>
    <row r="320" s="1" customFormat="1" ht="15" x14ac:dyDescent="0.25"/>
    <row r="321" s="1" customFormat="1" ht="15" x14ac:dyDescent="0.25"/>
    <row r="322" s="1" customFormat="1" ht="15" x14ac:dyDescent="0.25"/>
    <row r="323" s="1" customFormat="1" ht="15" x14ac:dyDescent="0.25"/>
    <row r="324" s="1" customFormat="1" ht="15" x14ac:dyDescent="0.25"/>
    <row r="325" s="1" customFormat="1" ht="15" x14ac:dyDescent="0.25"/>
    <row r="326" s="1" customFormat="1" ht="15" x14ac:dyDescent="0.25"/>
    <row r="327" s="1" customFormat="1" ht="15" x14ac:dyDescent="0.25"/>
    <row r="328" s="1" customFormat="1" ht="15" x14ac:dyDescent="0.25"/>
    <row r="329" s="1" customFormat="1" ht="15" x14ac:dyDescent="0.25"/>
    <row r="330" s="1" customFormat="1" ht="15" x14ac:dyDescent="0.25"/>
    <row r="331" s="1" customFormat="1" ht="15" x14ac:dyDescent="0.25"/>
    <row r="332" s="1" customFormat="1" ht="15" x14ac:dyDescent="0.25"/>
    <row r="333" s="1" customFormat="1" ht="15" x14ac:dyDescent="0.25"/>
    <row r="334" s="1" customFormat="1" ht="15" x14ac:dyDescent="0.25"/>
    <row r="335" s="1" customFormat="1" ht="15" x14ac:dyDescent="0.25"/>
    <row r="336" s="1" customFormat="1" ht="15" x14ac:dyDescent="0.25"/>
    <row r="337" s="1" customFormat="1" ht="15" x14ac:dyDescent="0.25"/>
    <row r="338" s="1" customFormat="1" ht="15" x14ac:dyDescent="0.25"/>
    <row r="339" s="1" customFormat="1" ht="15" x14ac:dyDescent="0.25"/>
    <row r="340" s="1" customFormat="1" ht="15" x14ac:dyDescent="0.25"/>
    <row r="341" s="1" customFormat="1" ht="15" x14ac:dyDescent="0.25"/>
    <row r="342" s="1" customFormat="1" ht="15" x14ac:dyDescent="0.25"/>
    <row r="343" s="1" customFormat="1" ht="15" x14ac:dyDescent="0.25"/>
    <row r="344" s="1" customFormat="1" ht="15" x14ac:dyDescent="0.25"/>
    <row r="345" s="1" customFormat="1" ht="15" x14ac:dyDescent="0.25"/>
    <row r="346" s="1" customFormat="1" ht="15" x14ac:dyDescent="0.25"/>
    <row r="347" s="1" customFormat="1" ht="15" x14ac:dyDescent="0.25"/>
    <row r="348" s="1" customFormat="1" ht="15" x14ac:dyDescent="0.25"/>
    <row r="349" s="1" customFormat="1" ht="15" x14ac:dyDescent="0.25"/>
    <row r="350" s="1" customFormat="1" ht="15" x14ac:dyDescent="0.25"/>
    <row r="351" s="1" customFormat="1" ht="15" x14ac:dyDescent="0.25"/>
    <row r="352" s="1" customFormat="1" ht="15" x14ac:dyDescent="0.25"/>
    <row r="353" s="1" customFormat="1" ht="15" x14ac:dyDescent="0.25"/>
    <row r="354" s="1" customFormat="1" ht="15" x14ac:dyDescent="0.25"/>
    <row r="355" s="1" customFormat="1" ht="15" x14ac:dyDescent="0.25"/>
    <row r="356" s="1" customFormat="1" ht="15" x14ac:dyDescent="0.25"/>
    <row r="357" s="1" customFormat="1" ht="15" x14ac:dyDescent="0.25"/>
    <row r="358" s="1" customFormat="1" ht="15" x14ac:dyDescent="0.25"/>
    <row r="359" s="1" customFormat="1" ht="15" x14ac:dyDescent="0.25"/>
    <row r="360" s="1" customFormat="1" ht="15" x14ac:dyDescent="0.25"/>
    <row r="361" s="1" customFormat="1" ht="15" x14ac:dyDescent="0.25"/>
    <row r="362" s="1" customFormat="1" ht="15" x14ac:dyDescent="0.25"/>
    <row r="363" s="1" customFormat="1" ht="15" x14ac:dyDescent="0.25"/>
    <row r="364" s="1" customFormat="1" ht="15" x14ac:dyDescent="0.25"/>
    <row r="365" s="1" customFormat="1" ht="15" x14ac:dyDescent="0.25"/>
    <row r="366" s="1" customFormat="1" ht="15" x14ac:dyDescent="0.25"/>
    <row r="367" s="1" customFormat="1" ht="15" x14ac:dyDescent="0.25"/>
    <row r="368" s="1" customFormat="1" ht="15" x14ac:dyDescent="0.25"/>
    <row r="369" s="1" customFormat="1" ht="15" x14ac:dyDescent="0.25"/>
    <row r="370" s="1" customFormat="1" ht="15" x14ac:dyDescent="0.25"/>
    <row r="371" s="1" customFormat="1" ht="15" x14ac:dyDescent="0.25"/>
    <row r="372" s="1" customFormat="1" ht="15" x14ac:dyDescent="0.25"/>
    <row r="373" s="1" customFormat="1" ht="15" x14ac:dyDescent="0.25"/>
    <row r="374" s="1" customFormat="1" ht="15" x14ac:dyDescent="0.25"/>
    <row r="375" s="1" customFormat="1" ht="15" x14ac:dyDescent="0.25"/>
    <row r="376" s="1" customFormat="1" ht="15" x14ac:dyDescent="0.25"/>
    <row r="377" s="1" customFormat="1" ht="15" x14ac:dyDescent="0.25"/>
    <row r="378" s="1" customFormat="1" ht="15" x14ac:dyDescent="0.25"/>
    <row r="379" s="1" customFormat="1" ht="15" x14ac:dyDescent="0.25"/>
    <row r="380" s="1" customFormat="1" ht="15" x14ac:dyDescent="0.25"/>
    <row r="381" s="1" customFormat="1" ht="15" x14ac:dyDescent="0.25"/>
    <row r="382" s="1" customFormat="1" ht="15" x14ac:dyDescent="0.25"/>
    <row r="383" s="1" customFormat="1" ht="15" x14ac:dyDescent="0.25"/>
    <row r="384" s="1" customFormat="1" ht="15" x14ac:dyDescent="0.25"/>
    <row r="385" s="1" customFormat="1" ht="15" x14ac:dyDescent="0.25"/>
    <row r="386" s="1" customFormat="1" ht="15" x14ac:dyDescent="0.25"/>
    <row r="387" s="1" customFormat="1" ht="15" x14ac:dyDescent="0.25"/>
    <row r="388" s="1" customFormat="1" ht="15" x14ac:dyDescent="0.25"/>
    <row r="389" s="1" customFormat="1" ht="15" x14ac:dyDescent="0.25"/>
    <row r="390" s="1" customFormat="1" ht="15" x14ac:dyDescent="0.25"/>
    <row r="391" s="1" customFormat="1" ht="15" x14ac:dyDescent="0.25"/>
    <row r="392" s="1" customFormat="1" ht="15" x14ac:dyDescent="0.25"/>
    <row r="393" s="1" customFormat="1" ht="15" x14ac:dyDescent="0.25"/>
    <row r="394" s="1" customFormat="1" ht="15" x14ac:dyDescent="0.25"/>
    <row r="395" s="1" customFormat="1" ht="15" x14ac:dyDescent="0.25"/>
    <row r="396" s="1" customFormat="1" ht="15" x14ac:dyDescent="0.25"/>
    <row r="397" s="1" customFormat="1" ht="15" x14ac:dyDescent="0.25"/>
    <row r="398" s="1" customFormat="1" ht="15" x14ac:dyDescent="0.25"/>
    <row r="399" s="1" customFormat="1" ht="15" x14ac:dyDescent="0.25"/>
    <row r="400" s="1" customFormat="1" ht="15" x14ac:dyDescent="0.25"/>
    <row r="401" s="1" customFormat="1" ht="15" x14ac:dyDescent="0.25"/>
    <row r="402" s="1" customFormat="1" ht="15" x14ac:dyDescent="0.25"/>
    <row r="403" s="1" customFormat="1" ht="15" x14ac:dyDescent="0.25"/>
    <row r="404" s="1" customFormat="1" ht="15" x14ac:dyDescent="0.25"/>
    <row r="405" s="1" customFormat="1" ht="15" x14ac:dyDescent="0.25"/>
    <row r="406" s="1" customFormat="1" ht="15" x14ac:dyDescent="0.25"/>
    <row r="407" s="1" customFormat="1" ht="15" x14ac:dyDescent="0.25"/>
    <row r="408" s="1" customFormat="1" ht="15" x14ac:dyDescent="0.25"/>
    <row r="409" s="1" customFormat="1" ht="15" x14ac:dyDescent="0.25"/>
    <row r="410" s="1" customFormat="1" ht="15" x14ac:dyDescent="0.25"/>
    <row r="411" s="1" customFormat="1" ht="15" x14ac:dyDescent="0.25"/>
    <row r="412" s="1" customFormat="1" ht="15" x14ac:dyDescent="0.25"/>
    <row r="413" s="1" customFormat="1" ht="15" x14ac:dyDescent="0.25"/>
    <row r="414" s="1" customFormat="1" ht="15" x14ac:dyDescent="0.25"/>
    <row r="415" s="1" customFormat="1" ht="15" x14ac:dyDescent="0.25"/>
    <row r="416" s="1" customFormat="1" ht="15" x14ac:dyDescent="0.25"/>
    <row r="417" s="1" customFormat="1" ht="15" x14ac:dyDescent="0.25"/>
    <row r="418" s="1" customFormat="1" ht="15" x14ac:dyDescent="0.25"/>
    <row r="419" s="1" customFormat="1" ht="15" x14ac:dyDescent="0.25"/>
    <row r="420" s="1" customFormat="1" ht="15" x14ac:dyDescent="0.25"/>
    <row r="421" s="1" customFormat="1" ht="15" x14ac:dyDescent="0.25"/>
    <row r="422" s="1" customFormat="1" ht="15" x14ac:dyDescent="0.25"/>
    <row r="423" s="1" customFormat="1" ht="15" x14ac:dyDescent="0.25"/>
    <row r="424" s="1" customFormat="1" ht="15" x14ac:dyDescent="0.25"/>
    <row r="425" s="1" customFormat="1" ht="15" x14ac:dyDescent="0.25"/>
    <row r="426" s="1" customFormat="1" ht="15" x14ac:dyDescent="0.25"/>
    <row r="427" s="1" customFormat="1" ht="15" x14ac:dyDescent="0.25"/>
    <row r="428" s="1" customFormat="1" ht="15" x14ac:dyDescent="0.25"/>
    <row r="429" s="1" customFormat="1" ht="15" x14ac:dyDescent="0.25"/>
    <row r="430" s="1" customFormat="1" ht="15" x14ac:dyDescent="0.25"/>
    <row r="431" s="1" customFormat="1" ht="15" x14ac:dyDescent="0.25"/>
    <row r="432" s="1" customFormat="1" ht="15" x14ac:dyDescent="0.25"/>
    <row r="433" s="1" customFormat="1" ht="15" x14ac:dyDescent="0.25"/>
    <row r="434" s="1" customFormat="1" ht="15" x14ac:dyDescent="0.25"/>
    <row r="435" s="1" customFormat="1" ht="15" x14ac:dyDescent="0.25"/>
    <row r="436" s="1" customFormat="1" ht="15" x14ac:dyDescent="0.25"/>
    <row r="437" s="1" customFormat="1" ht="15" x14ac:dyDescent="0.25"/>
    <row r="438" s="1" customFormat="1" ht="15" x14ac:dyDescent="0.25"/>
    <row r="439" s="1" customFormat="1" ht="15" x14ac:dyDescent="0.25"/>
    <row r="440" s="1" customFormat="1" ht="15" x14ac:dyDescent="0.25"/>
    <row r="441" s="1" customFormat="1" ht="15" x14ac:dyDescent="0.25"/>
    <row r="442" s="1" customFormat="1" ht="15" x14ac:dyDescent="0.25"/>
    <row r="443" s="1" customFormat="1" ht="15" x14ac:dyDescent="0.25"/>
    <row r="444" s="1" customFormat="1" ht="15" x14ac:dyDescent="0.25"/>
    <row r="445" s="1" customFormat="1" ht="15" x14ac:dyDescent="0.25"/>
    <row r="446" s="1" customFormat="1" ht="15" x14ac:dyDescent="0.25"/>
    <row r="447" s="1" customFormat="1" ht="15" x14ac:dyDescent="0.25"/>
    <row r="448" s="1" customFormat="1" ht="15" x14ac:dyDescent="0.25"/>
    <row r="449" s="1" customFormat="1" ht="15" x14ac:dyDescent="0.25"/>
    <row r="450" s="1" customFormat="1" ht="15" x14ac:dyDescent="0.25"/>
    <row r="451" s="1" customFormat="1" ht="15" x14ac:dyDescent="0.25"/>
    <row r="452" s="1" customFormat="1" ht="15" x14ac:dyDescent="0.25"/>
    <row r="453" s="1" customFormat="1" ht="15" x14ac:dyDescent="0.25"/>
    <row r="454" s="1" customFormat="1" ht="15" x14ac:dyDescent="0.25"/>
    <row r="455" s="1" customFormat="1" ht="15" x14ac:dyDescent="0.25"/>
    <row r="456" s="1" customFormat="1" ht="15" x14ac:dyDescent="0.25"/>
    <row r="457" s="1" customFormat="1" ht="15" x14ac:dyDescent="0.25"/>
    <row r="458" s="1" customFormat="1" ht="15" x14ac:dyDescent="0.25"/>
    <row r="459" s="1" customFormat="1" ht="15" x14ac:dyDescent="0.25"/>
    <row r="460" s="1" customFormat="1" ht="15" x14ac:dyDescent="0.25"/>
    <row r="461" s="1" customFormat="1" ht="15" x14ac:dyDescent="0.25"/>
    <row r="462" s="1" customFormat="1" ht="15" x14ac:dyDescent="0.25"/>
    <row r="463" s="1" customFormat="1" ht="15" x14ac:dyDescent="0.25"/>
    <row r="464" s="1" customFormat="1" ht="15" x14ac:dyDescent="0.25"/>
    <row r="465" s="1" customFormat="1" ht="15" x14ac:dyDescent="0.25"/>
    <row r="466" s="1" customFormat="1" ht="15" x14ac:dyDescent="0.25"/>
    <row r="467" s="1" customFormat="1" ht="15" x14ac:dyDescent="0.25"/>
    <row r="468" s="1" customFormat="1" ht="15" x14ac:dyDescent="0.25"/>
    <row r="469" s="1" customFormat="1" ht="15" x14ac:dyDescent="0.25"/>
    <row r="470" s="1" customFormat="1" ht="15" x14ac:dyDescent="0.25"/>
    <row r="471" s="1" customFormat="1" ht="15" x14ac:dyDescent="0.25"/>
    <row r="472" s="1" customFormat="1" ht="15" x14ac:dyDescent="0.25"/>
    <row r="473" s="1" customFormat="1" ht="15" x14ac:dyDescent="0.25"/>
    <row r="474" s="1" customFormat="1" ht="15" x14ac:dyDescent="0.25"/>
    <row r="475" s="1" customFormat="1" ht="15" x14ac:dyDescent="0.25"/>
    <row r="476" s="1" customFormat="1" ht="15" x14ac:dyDescent="0.25"/>
    <row r="477" s="1" customFormat="1" ht="15" x14ac:dyDescent="0.25"/>
    <row r="478" s="1" customFormat="1" ht="15" x14ac:dyDescent="0.25"/>
    <row r="479" s="1" customFormat="1" ht="15" x14ac:dyDescent="0.25"/>
    <row r="480" s="1" customFormat="1" ht="15" x14ac:dyDescent="0.25"/>
    <row r="481" s="1" customFormat="1" ht="15" x14ac:dyDescent="0.25"/>
    <row r="482" s="1" customFormat="1" ht="15" x14ac:dyDescent="0.25"/>
    <row r="483" s="1" customFormat="1" ht="15" x14ac:dyDescent="0.25"/>
    <row r="484" s="1" customFormat="1" ht="15" x14ac:dyDescent="0.25"/>
    <row r="485" s="1" customFormat="1" ht="15" x14ac:dyDescent="0.25"/>
    <row r="486" s="1" customFormat="1" ht="15" x14ac:dyDescent="0.25"/>
    <row r="487" s="1" customFormat="1" ht="15" x14ac:dyDescent="0.25"/>
    <row r="488" s="1" customFormat="1" ht="15" x14ac:dyDescent="0.25"/>
    <row r="489" s="1" customFormat="1" ht="15" x14ac:dyDescent="0.25"/>
    <row r="490" s="1" customFormat="1" ht="15" x14ac:dyDescent="0.25"/>
    <row r="491" s="1" customFormat="1" ht="15" x14ac:dyDescent="0.25"/>
    <row r="492" s="1" customFormat="1" ht="15" x14ac:dyDescent="0.25"/>
    <row r="493" s="1" customFormat="1" ht="15" x14ac:dyDescent="0.25"/>
    <row r="494" s="1" customFormat="1" ht="15" x14ac:dyDescent="0.25"/>
    <row r="495" s="1" customFormat="1" ht="15" x14ac:dyDescent="0.25"/>
    <row r="496" s="1" customFormat="1" ht="15" x14ac:dyDescent="0.25"/>
    <row r="497" s="1" customFormat="1" ht="15" x14ac:dyDescent="0.25"/>
    <row r="498" s="1" customFormat="1" ht="15" x14ac:dyDescent="0.25"/>
    <row r="499" s="1" customFormat="1" ht="15" x14ac:dyDescent="0.25"/>
    <row r="500" s="1" customFormat="1" ht="15" x14ac:dyDescent="0.25"/>
    <row r="501" s="1" customFormat="1" ht="15" x14ac:dyDescent="0.25"/>
    <row r="502" s="1" customFormat="1" ht="15" x14ac:dyDescent="0.25"/>
    <row r="503" s="1" customFormat="1" ht="15" x14ac:dyDescent="0.25"/>
    <row r="504" s="1" customFormat="1" ht="15" x14ac:dyDescent="0.25"/>
    <row r="505" s="1" customFormat="1" ht="15" x14ac:dyDescent="0.25"/>
    <row r="506" s="1" customFormat="1" ht="15" x14ac:dyDescent="0.25"/>
    <row r="507" s="1" customFormat="1" ht="15" x14ac:dyDescent="0.25"/>
    <row r="508" s="1" customFormat="1" ht="15" x14ac:dyDescent="0.25"/>
    <row r="509" s="1" customFormat="1" ht="15" x14ac:dyDescent="0.25"/>
    <row r="510" s="1" customFormat="1" ht="15" x14ac:dyDescent="0.25"/>
    <row r="511" s="1" customFormat="1" ht="15" x14ac:dyDescent="0.25"/>
    <row r="512" s="1" customFormat="1" ht="15" x14ac:dyDescent="0.25"/>
    <row r="513" s="1" customFormat="1" ht="15" x14ac:dyDescent="0.25"/>
    <row r="514" s="1" customFormat="1" ht="15" x14ac:dyDescent="0.25"/>
    <row r="515" s="1" customFormat="1" ht="15" x14ac:dyDescent="0.25"/>
    <row r="516" s="1" customFormat="1" ht="15" x14ac:dyDescent="0.25"/>
    <row r="517" s="1" customFormat="1" ht="15" x14ac:dyDescent="0.25"/>
    <row r="518" s="1" customFormat="1" ht="15" x14ac:dyDescent="0.25"/>
    <row r="519" s="1" customFormat="1" ht="15" x14ac:dyDescent="0.25"/>
    <row r="520" s="1" customFormat="1" ht="15" x14ac:dyDescent="0.25"/>
    <row r="521" s="1" customFormat="1" ht="15" x14ac:dyDescent="0.25"/>
    <row r="522" s="1" customFormat="1" ht="15" x14ac:dyDescent="0.25"/>
    <row r="523" s="1" customFormat="1" ht="15" x14ac:dyDescent="0.25"/>
    <row r="524" s="1" customFormat="1" ht="15" x14ac:dyDescent="0.25"/>
    <row r="525" s="1" customFormat="1" ht="15" x14ac:dyDescent="0.25"/>
    <row r="526" s="1" customFormat="1" ht="15" x14ac:dyDescent="0.25"/>
    <row r="527" s="1" customFormat="1" ht="15" x14ac:dyDescent="0.25"/>
    <row r="528" s="1" customFormat="1" ht="15" x14ac:dyDescent="0.25"/>
    <row r="529" s="1" customFormat="1" ht="15" x14ac:dyDescent="0.25"/>
    <row r="530" s="1" customFormat="1" ht="15" x14ac:dyDescent="0.25"/>
    <row r="531" s="1" customFormat="1" ht="15" x14ac:dyDescent="0.25"/>
    <row r="532" s="1" customFormat="1" ht="15" x14ac:dyDescent="0.25"/>
    <row r="533" s="1" customFormat="1" ht="15" x14ac:dyDescent="0.25"/>
    <row r="534" s="1" customFormat="1" ht="15" x14ac:dyDescent="0.25"/>
    <row r="535" s="1" customFormat="1" ht="15" x14ac:dyDescent="0.25"/>
    <row r="536" s="1" customFormat="1" ht="15" x14ac:dyDescent="0.25"/>
    <row r="537" s="1" customFormat="1" ht="15" x14ac:dyDescent="0.25"/>
    <row r="538" s="1" customFormat="1" ht="15" x14ac:dyDescent="0.25"/>
    <row r="539" s="1" customFormat="1" ht="15" x14ac:dyDescent="0.25"/>
    <row r="540" s="1" customFormat="1" ht="15" x14ac:dyDescent="0.25"/>
    <row r="541" s="1" customFormat="1" ht="15" x14ac:dyDescent="0.25"/>
    <row r="542" s="1" customFormat="1" ht="15" x14ac:dyDescent="0.25"/>
    <row r="543" s="1" customFormat="1" ht="15" x14ac:dyDescent="0.25"/>
    <row r="544" s="1" customFormat="1" ht="15" x14ac:dyDescent="0.25"/>
    <row r="545" s="1" customFormat="1" ht="15" x14ac:dyDescent="0.25"/>
    <row r="546" s="1" customFormat="1" ht="15" x14ac:dyDescent="0.25"/>
    <row r="547" s="1" customFormat="1" ht="15" x14ac:dyDescent="0.25"/>
    <row r="548" s="1" customFormat="1" ht="15" x14ac:dyDescent="0.25"/>
    <row r="549" s="1" customFormat="1" ht="15" x14ac:dyDescent="0.25"/>
    <row r="550" s="1" customFormat="1" ht="15" x14ac:dyDescent="0.25"/>
    <row r="551" s="1" customFormat="1" ht="15" x14ac:dyDescent="0.25"/>
    <row r="552" s="1" customFormat="1" ht="15" x14ac:dyDescent="0.25"/>
    <row r="553" s="1" customFormat="1" ht="15" x14ac:dyDescent="0.25"/>
    <row r="554" s="1" customFormat="1" ht="15" x14ac:dyDescent="0.25"/>
    <row r="555" s="1" customFormat="1" ht="15" x14ac:dyDescent="0.25"/>
    <row r="556" s="1" customFormat="1" ht="15" x14ac:dyDescent="0.25"/>
    <row r="557" s="1" customFormat="1" ht="15" x14ac:dyDescent="0.25"/>
    <row r="558" s="1" customFormat="1" ht="15" x14ac:dyDescent="0.25"/>
    <row r="559" s="1" customFormat="1" ht="15" x14ac:dyDescent="0.25"/>
    <row r="560" s="1" customFormat="1" ht="15" x14ac:dyDescent="0.25"/>
    <row r="561" s="1" customFormat="1" ht="15" x14ac:dyDescent="0.25"/>
    <row r="562" s="1" customFormat="1" ht="15" x14ac:dyDescent="0.25"/>
    <row r="563" s="1" customFormat="1" ht="15" x14ac:dyDescent="0.25"/>
    <row r="564" s="1" customFormat="1" ht="15" x14ac:dyDescent="0.25"/>
    <row r="565" s="1" customFormat="1" ht="15" x14ac:dyDescent="0.25"/>
    <row r="566" s="1" customFormat="1" ht="15" x14ac:dyDescent="0.25"/>
    <row r="567" s="1" customFormat="1" ht="15" x14ac:dyDescent="0.25"/>
    <row r="568" s="1" customFormat="1" ht="15" x14ac:dyDescent="0.25"/>
    <row r="569" s="1" customFormat="1" ht="15" x14ac:dyDescent="0.25"/>
    <row r="570" s="1" customFormat="1" ht="15" x14ac:dyDescent="0.25"/>
    <row r="571" s="1" customFormat="1" ht="15" x14ac:dyDescent="0.25"/>
    <row r="572" s="1" customFormat="1" ht="15" x14ac:dyDescent="0.25"/>
    <row r="573" s="1" customFormat="1" ht="15" x14ac:dyDescent="0.25"/>
    <row r="574" s="1" customFormat="1" ht="15" x14ac:dyDescent="0.25"/>
    <row r="575" s="1" customFormat="1" ht="15" x14ac:dyDescent="0.25"/>
    <row r="576" s="1" customFormat="1" ht="15" x14ac:dyDescent="0.25"/>
    <row r="577" s="1" customFormat="1" ht="15" x14ac:dyDescent="0.25"/>
    <row r="578" s="1" customFormat="1" ht="15" x14ac:dyDescent="0.25"/>
    <row r="579" s="1" customFormat="1" ht="15" x14ac:dyDescent="0.25"/>
    <row r="580" s="1" customFormat="1" ht="15" x14ac:dyDescent="0.25"/>
    <row r="581" s="1" customFormat="1" ht="15" x14ac:dyDescent="0.25"/>
    <row r="582" s="1" customFormat="1" ht="15" x14ac:dyDescent="0.25"/>
    <row r="583" s="1" customFormat="1" ht="15" x14ac:dyDescent="0.25"/>
    <row r="584" s="1" customFormat="1" ht="15" x14ac:dyDescent="0.25"/>
    <row r="585" s="1" customFormat="1" ht="15" x14ac:dyDescent="0.25"/>
    <row r="586" s="1" customFormat="1" ht="15" x14ac:dyDescent="0.25"/>
    <row r="587" s="1" customFormat="1" ht="15" x14ac:dyDescent="0.25"/>
    <row r="588" s="1" customFormat="1" ht="15" x14ac:dyDescent="0.25"/>
    <row r="589" s="1" customFormat="1" ht="15" x14ac:dyDescent="0.25"/>
    <row r="590" s="1" customFormat="1" ht="15" x14ac:dyDescent="0.25"/>
    <row r="591" s="1" customFormat="1" ht="15" x14ac:dyDescent="0.25"/>
    <row r="592" s="1" customFormat="1" ht="15" x14ac:dyDescent="0.25"/>
    <row r="593" s="1" customFormat="1" ht="15" x14ac:dyDescent="0.25"/>
    <row r="594" s="1" customFormat="1" ht="15" x14ac:dyDescent="0.25"/>
    <row r="595" s="1" customFormat="1" ht="15" x14ac:dyDescent="0.25"/>
    <row r="596" s="1" customFormat="1" ht="15" x14ac:dyDescent="0.25"/>
    <row r="597" s="1" customFormat="1" ht="15" x14ac:dyDescent="0.25"/>
    <row r="598" s="1" customFormat="1" ht="15" x14ac:dyDescent="0.25"/>
    <row r="599" s="1" customFormat="1" ht="15" x14ac:dyDescent="0.25"/>
    <row r="600" s="1" customFormat="1" ht="15" x14ac:dyDescent="0.25"/>
    <row r="601" s="1" customFormat="1" ht="15" x14ac:dyDescent="0.25"/>
    <row r="602" s="1" customFormat="1" ht="15" x14ac:dyDescent="0.25"/>
    <row r="603" s="1" customFormat="1" ht="15" x14ac:dyDescent="0.25"/>
    <row r="604" s="1" customFormat="1" ht="15" x14ac:dyDescent="0.25"/>
    <row r="605" s="1" customFormat="1" ht="15" x14ac:dyDescent="0.25"/>
    <row r="606" s="1" customFormat="1" ht="15" x14ac:dyDescent="0.25"/>
    <row r="607" s="1" customFormat="1" ht="15" x14ac:dyDescent="0.25"/>
    <row r="608" s="1" customFormat="1" ht="15" x14ac:dyDescent="0.25"/>
    <row r="609" s="1" customFormat="1" ht="15" x14ac:dyDescent="0.25"/>
    <row r="610" s="1" customFormat="1" ht="15" x14ac:dyDescent="0.25"/>
    <row r="611" s="1" customFormat="1" ht="15" x14ac:dyDescent="0.25"/>
    <row r="612" s="1" customFormat="1" ht="15" x14ac:dyDescent="0.25"/>
    <row r="613" s="1" customFormat="1" ht="15" x14ac:dyDescent="0.25"/>
    <row r="614" s="1" customFormat="1" ht="15" x14ac:dyDescent="0.25"/>
    <row r="615" s="1" customFormat="1" ht="15" x14ac:dyDescent="0.25"/>
    <row r="616" s="1" customFormat="1" ht="15" x14ac:dyDescent="0.25"/>
    <row r="617" s="1" customFormat="1" ht="15" x14ac:dyDescent="0.25"/>
    <row r="618" s="1" customFormat="1" ht="15" x14ac:dyDescent="0.25"/>
    <row r="619" s="1" customFormat="1" ht="15" x14ac:dyDescent="0.25"/>
    <row r="620" s="1" customFormat="1" ht="15" x14ac:dyDescent="0.25"/>
    <row r="621" s="1" customFormat="1" ht="15" x14ac:dyDescent="0.25"/>
    <row r="622" s="1" customFormat="1" ht="15" x14ac:dyDescent="0.25"/>
    <row r="623" s="1" customFormat="1" ht="15" x14ac:dyDescent="0.25"/>
    <row r="624" s="1" customFormat="1" ht="15" x14ac:dyDescent="0.25"/>
    <row r="625" s="1" customFormat="1" ht="15" x14ac:dyDescent="0.25"/>
    <row r="626" s="1" customFormat="1" ht="15" x14ac:dyDescent="0.25"/>
    <row r="627" s="1" customFormat="1" ht="15" x14ac:dyDescent="0.25"/>
    <row r="628" s="1" customFormat="1" ht="15" x14ac:dyDescent="0.25"/>
    <row r="629" s="1" customFormat="1" ht="15" x14ac:dyDescent="0.25"/>
    <row r="630" s="1" customFormat="1" ht="15" x14ac:dyDescent="0.25"/>
    <row r="631" s="1" customFormat="1" ht="15" x14ac:dyDescent="0.25"/>
    <row r="632" s="1" customFormat="1" ht="15" x14ac:dyDescent="0.25"/>
    <row r="633" s="1" customFormat="1" ht="15" x14ac:dyDescent="0.25"/>
    <row r="634" s="1" customFormat="1" ht="15" x14ac:dyDescent="0.25"/>
    <row r="635" s="1" customFormat="1" ht="15" x14ac:dyDescent="0.25"/>
    <row r="636" s="1" customFormat="1" ht="15" x14ac:dyDescent="0.25"/>
    <row r="637" s="1" customFormat="1" ht="15" x14ac:dyDescent="0.25"/>
    <row r="638" s="1" customFormat="1" ht="15" x14ac:dyDescent="0.25"/>
    <row r="639" s="1" customFormat="1" ht="15" x14ac:dyDescent="0.25"/>
    <row r="640" s="1" customFormat="1" ht="15" x14ac:dyDescent="0.25"/>
    <row r="641" s="1" customFormat="1" ht="15" x14ac:dyDescent="0.25"/>
    <row r="642" s="1" customFormat="1" ht="15" x14ac:dyDescent="0.25"/>
    <row r="643" s="1" customFormat="1" ht="15" x14ac:dyDescent="0.25"/>
    <row r="644" s="1" customFormat="1" ht="15" x14ac:dyDescent="0.25"/>
    <row r="645" s="1" customFormat="1" ht="15" x14ac:dyDescent="0.25"/>
    <row r="646" s="1" customFormat="1" ht="15" x14ac:dyDescent="0.25"/>
    <row r="647" s="1" customFormat="1" ht="15" x14ac:dyDescent="0.25"/>
    <row r="648" s="1" customFormat="1" ht="15" x14ac:dyDescent="0.25"/>
    <row r="649" s="1" customFormat="1" ht="15" x14ac:dyDescent="0.25"/>
    <row r="650" s="1" customFormat="1" ht="15" x14ac:dyDescent="0.25"/>
    <row r="651" s="1" customFormat="1" ht="15" x14ac:dyDescent="0.25"/>
    <row r="652" s="1" customFormat="1" ht="15" x14ac:dyDescent="0.25"/>
    <row r="653" s="1" customFormat="1" ht="15" x14ac:dyDescent="0.25"/>
    <row r="654" s="1" customFormat="1" ht="15" x14ac:dyDescent="0.25"/>
    <row r="655" s="1" customFormat="1" ht="15" x14ac:dyDescent="0.25"/>
    <row r="656" s="1" customFormat="1" ht="15" x14ac:dyDescent="0.25"/>
    <row r="657" s="1" customFormat="1" ht="15" x14ac:dyDescent="0.25"/>
    <row r="658" s="1" customFormat="1" ht="15" x14ac:dyDescent="0.25"/>
    <row r="659" s="1" customFormat="1" ht="15" x14ac:dyDescent="0.25"/>
    <row r="660" s="1" customFormat="1" ht="15" x14ac:dyDescent="0.25"/>
    <row r="661" s="1" customFormat="1" ht="15" x14ac:dyDescent="0.25"/>
    <row r="662" s="1" customFormat="1" ht="15" x14ac:dyDescent="0.25"/>
    <row r="663" s="1" customFormat="1" ht="15" x14ac:dyDescent="0.25"/>
    <row r="664" s="1" customFormat="1" ht="15" x14ac:dyDescent="0.25"/>
    <row r="665" s="1" customFormat="1" ht="15" x14ac:dyDescent="0.25"/>
    <row r="666" s="1" customFormat="1" ht="15" x14ac:dyDescent="0.25"/>
    <row r="667" s="1" customFormat="1" ht="15" x14ac:dyDescent="0.25"/>
    <row r="668" s="1" customFormat="1" ht="15" x14ac:dyDescent="0.25"/>
    <row r="669" s="1" customFormat="1" ht="15" x14ac:dyDescent="0.25"/>
    <row r="670" s="1" customFormat="1" ht="15" x14ac:dyDescent="0.25"/>
    <row r="671" s="1" customFormat="1" ht="15" x14ac:dyDescent="0.25"/>
    <row r="672" s="1" customFormat="1" ht="15" x14ac:dyDescent="0.25"/>
    <row r="673" s="1" customFormat="1" ht="15" x14ac:dyDescent="0.25"/>
    <row r="674" s="1" customFormat="1" ht="15" x14ac:dyDescent="0.25"/>
    <row r="675" s="1" customFormat="1" ht="15" x14ac:dyDescent="0.25"/>
    <row r="676" s="1" customFormat="1" ht="15" x14ac:dyDescent="0.25"/>
    <row r="677" s="1" customFormat="1" ht="15" x14ac:dyDescent="0.25"/>
    <row r="678" s="1" customFormat="1" ht="15" x14ac:dyDescent="0.25"/>
    <row r="679" s="1" customFormat="1" ht="15" x14ac:dyDescent="0.25"/>
    <row r="680" s="1" customFormat="1" ht="15" x14ac:dyDescent="0.25"/>
    <row r="681" s="1" customFormat="1" ht="15" x14ac:dyDescent="0.25"/>
    <row r="682" s="1" customFormat="1" ht="15" x14ac:dyDescent="0.25"/>
    <row r="683" s="1" customFormat="1" ht="15" x14ac:dyDescent="0.25"/>
    <row r="684" s="1" customFormat="1" ht="15" x14ac:dyDescent="0.25"/>
    <row r="685" s="1" customFormat="1" ht="15" x14ac:dyDescent="0.25"/>
    <row r="686" s="1" customFormat="1" ht="15" x14ac:dyDescent="0.25"/>
    <row r="687" s="1" customFormat="1" ht="15" x14ac:dyDescent="0.25"/>
    <row r="688" s="1" customFormat="1" ht="15" x14ac:dyDescent="0.25"/>
    <row r="689" s="1" customFormat="1" ht="15" x14ac:dyDescent="0.25"/>
    <row r="690" s="1" customFormat="1" ht="15" x14ac:dyDescent="0.25"/>
    <row r="691" s="1" customFormat="1" ht="15" x14ac:dyDescent="0.25"/>
    <row r="692" s="1" customFormat="1" ht="15" x14ac:dyDescent="0.25"/>
    <row r="693" s="1" customFormat="1" ht="15" x14ac:dyDescent="0.25"/>
    <row r="694" s="1" customFormat="1" ht="15" x14ac:dyDescent="0.25"/>
    <row r="695" s="1" customFormat="1" ht="15" x14ac:dyDescent="0.25"/>
    <row r="696" s="1" customFormat="1" ht="15" x14ac:dyDescent="0.25"/>
    <row r="697" s="1" customFormat="1" ht="15" x14ac:dyDescent="0.25"/>
    <row r="698" s="1" customFormat="1" ht="15" x14ac:dyDescent="0.25"/>
    <row r="699" s="1" customFormat="1" ht="15" x14ac:dyDescent="0.25"/>
    <row r="700" s="1" customFormat="1" ht="15" x14ac:dyDescent="0.25"/>
    <row r="701" s="1" customFormat="1" ht="15" x14ac:dyDescent="0.25"/>
    <row r="702" s="1" customFormat="1" ht="15" x14ac:dyDescent="0.25"/>
    <row r="703" s="1" customFormat="1" ht="15" x14ac:dyDescent="0.25"/>
    <row r="704" s="1" customFormat="1" ht="15" x14ac:dyDescent="0.25"/>
    <row r="705" s="1" customFormat="1" ht="15" x14ac:dyDescent="0.25"/>
    <row r="706" s="1" customFormat="1" ht="15" x14ac:dyDescent="0.25"/>
    <row r="707" s="1" customFormat="1" ht="15" x14ac:dyDescent="0.25"/>
    <row r="708" s="1" customFormat="1" ht="15" x14ac:dyDescent="0.25"/>
    <row r="709" s="1" customFormat="1" ht="15" x14ac:dyDescent="0.25"/>
    <row r="710" s="1" customFormat="1" ht="15" x14ac:dyDescent="0.25"/>
    <row r="711" s="1" customFormat="1" ht="15" x14ac:dyDescent="0.25"/>
    <row r="712" s="1" customFormat="1" ht="15" x14ac:dyDescent="0.25"/>
    <row r="713" s="1" customFormat="1" ht="15" x14ac:dyDescent="0.25"/>
    <row r="714" s="1" customFormat="1" ht="15" x14ac:dyDescent="0.25"/>
    <row r="715" s="1" customFormat="1" ht="15" x14ac:dyDescent="0.25"/>
    <row r="716" s="1" customFormat="1" ht="15" x14ac:dyDescent="0.25"/>
    <row r="717" s="1" customFormat="1" ht="15" x14ac:dyDescent="0.25"/>
    <row r="718" s="1" customFormat="1" ht="15" x14ac:dyDescent="0.25"/>
    <row r="719" s="1" customFormat="1" ht="15" x14ac:dyDescent="0.25"/>
    <row r="720" s="1" customFormat="1" ht="15" x14ac:dyDescent="0.25"/>
    <row r="721" s="1" customFormat="1" ht="15" x14ac:dyDescent="0.25"/>
    <row r="722" s="1" customFormat="1" ht="15" x14ac:dyDescent="0.25"/>
    <row r="723" s="1" customFormat="1" ht="15" x14ac:dyDescent="0.25"/>
    <row r="724" s="1" customFormat="1" ht="15" x14ac:dyDescent="0.25"/>
    <row r="725" s="1" customFormat="1" ht="15" x14ac:dyDescent="0.25"/>
    <row r="726" s="1" customFormat="1" ht="15" x14ac:dyDescent="0.25"/>
    <row r="727" s="1" customFormat="1" ht="15" x14ac:dyDescent="0.25"/>
    <row r="728" s="1" customFormat="1" ht="15" x14ac:dyDescent="0.25"/>
    <row r="729" s="1" customFormat="1" ht="15" x14ac:dyDescent="0.25"/>
    <row r="730" s="1" customFormat="1" ht="15" x14ac:dyDescent="0.25"/>
    <row r="731" s="1" customFormat="1" ht="15" x14ac:dyDescent="0.25"/>
    <row r="732" s="1" customFormat="1" ht="15" x14ac:dyDescent="0.25"/>
    <row r="733" s="1" customFormat="1" ht="15" x14ac:dyDescent="0.25"/>
    <row r="734" s="1" customFormat="1" ht="15" x14ac:dyDescent="0.25"/>
    <row r="735" s="1" customFormat="1" ht="15" x14ac:dyDescent="0.25"/>
    <row r="736" s="1" customFormat="1" ht="15" x14ac:dyDescent="0.25"/>
    <row r="737" s="1" customFormat="1" ht="15" x14ac:dyDescent="0.25"/>
    <row r="738" s="1" customFormat="1" ht="15" x14ac:dyDescent="0.25"/>
    <row r="739" s="1" customFormat="1" ht="15" x14ac:dyDescent="0.25"/>
    <row r="740" s="1" customFormat="1" ht="15" x14ac:dyDescent="0.25"/>
    <row r="741" s="1" customFormat="1" ht="15" x14ac:dyDescent="0.25"/>
    <row r="742" s="1" customFormat="1" ht="15" x14ac:dyDescent="0.25"/>
    <row r="743" s="1" customFormat="1" ht="15" x14ac:dyDescent="0.25"/>
    <row r="744" s="1" customFormat="1" ht="15" x14ac:dyDescent="0.25"/>
    <row r="745" s="1" customFormat="1" ht="15" x14ac:dyDescent="0.25"/>
    <row r="746" s="1" customFormat="1" ht="15" x14ac:dyDescent="0.25"/>
    <row r="747" s="1" customFormat="1" ht="15" x14ac:dyDescent="0.25"/>
    <row r="748" s="1" customFormat="1" ht="15" x14ac:dyDescent="0.25"/>
    <row r="749" s="1" customFormat="1" ht="15" x14ac:dyDescent="0.25"/>
    <row r="750" s="1" customFormat="1" ht="15" x14ac:dyDescent="0.25"/>
    <row r="751" s="1" customFormat="1" ht="15" x14ac:dyDescent="0.25"/>
    <row r="752" s="1" customFormat="1" ht="15" x14ac:dyDescent="0.25"/>
    <row r="753" s="1" customFormat="1" ht="15" x14ac:dyDescent="0.25"/>
    <row r="754" s="1" customFormat="1" ht="15" x14ac:dyDescent="0.25"/>
    <row r="755" s="1" customFormat="1" ht="15" x14ac:dyDescent="0.25"/>
    <row r="756" s="1" customFormat="1" ht="15" x14ac:dyDescent="0.25"/>
    <row r="757" s="1" customFormat="1" ht="15" x14ac:dyDescent="0.25"/>
    <row r="758" s="1" customFormat="1" ht="15" x14ac:dyDescent="0.25"/>
    <row r="759" s="1" customFormat="1" ht="15" x14ac:dyDescent="0.25"/>
    <row r="760" s="1" customFormat="1" ht="15" x14ac:dyDescent="0.25"/>
    <row r="761" s="1" customFormat="1" ht="15" x14ac:dyDescent="0.25"/>
    <row r="762" s="1" customFormat="1" ht="15" x14ac:dyDescent="0.25"/>
    <row r="763" s="1" customFormat="1" ht="15" x14ac:dyDescent="0.25"/>
    <row r="764" s="1" customFormat="1" ht="15" x14ac:dyDescent="0.25"/>
    <row r="765" s="1" customFormat="1" ht="15" x14ac:dyDescent="0.25"/>
    <row r="766" s="1" customFormat="1" ht="15" x14ac:dyDescent="0.25"/>
    <row r="767" s="1" customFormat="1" ht="15" x14ac:dyDescent="0.25"/>
    <row r="768" s="1" customFormat="1" ht="15" x14ac:dyDescent="0.25"/>
    <row r="769" s="1" customFormat="1" ht="15" x14ac:dyDescent="0.25"/>
    <row r="770" s="1" customFormat="1" ht="15" x14ac:dyDescent="0.25"/>
    <row r="771" s="1" customFormat="1" ht="15" x14ac:dyDescent="0.25"/>
    <row r="772" s="1" customFormat="1" ht="15" x14ac:dyDescent="0.25"/>
    <row r="773" s="1" customFormat="1" ht="15" x14ac:dyDescent="0.25"/>
    <row r="774" s="1" customFormat="1" ht="15" x14ac:dyDescent="0.25"/>
    <row r="775" s="1" customFormat="1" ht="15" x14ac:dyDescent="0.25"/>
    <row r="776" s="1" customFormat="1" ht="15" x14ac:dyDescent="0.25"/>
    <row r="777" s="1" customFormat="1" ht="15" x14ac:dyDescent="0.25"/>
    <row r="778" s="1" customFormat="1" ht="15" x14ac:dyDescent="0.25"/>
    <row r="779" s="1" customFormat="1" ht="15" x14ac:dyDescent="0.25"/>
    <row r="780" s="1" customFormat="1" ht="15" x14ac:dyDescent="0.25"/>
    <row r="781" s="1" customFormat="1" ht="15" x14ac:dyDescent="0.25"/>
    <row r="782" s="1" customFormat="1" ht="15" x14ac:dyDescent="0.25"/>
    <row r="783" s="1" customFormat="1" ht="15" x14ac:dyDescent="0.25"/>
    <row r="784" s="1" customFormat="1" ht="15" x14ac:dyDescent="0.25"/>
    <row r="785" s="1" customFormat="1" ht="15" x14ac:dyDescent="0.25"/>
    <row r="786" s="1" customFormat="1" ht="15" x14ac:dyDescent="0.25"/>
    <row r="787" s="1" customFormat="1" ht="15" x14ac:dyDescent="0.25"/>
    <row r="788" s="1" customFormat="1" ht="15" x14ac:dyDescent="0.25"/>
    <row r="789" s="1" customFormat="1" ht="15" x14ac:dyDescent="0.25"/>
    <row r="790" s="1" customFormat="1" ht="15" x14ac:dyDescent="0.25"/>
    <row r="791" s="1" customFormat="1" ht="15" x14ac:dyDescent="0.25"/>
    <row r="792" s="1" customFormat="1" ht="15" x14ac:dyDescent="0.25"/>
    <row r="793" s="1" customFormat="1" ht="15" x14ac:dyDescent="0.25"/>
    <row r="794" s="1" customFormat="1" ht="15" x14ac:dyDescent="0.25"/>
    <row r="795" s="1" customFormat="1" ht="15" x14ac:dyDescent="0.25"/>
    <row r="796" s="1" customFormat="1" ht="15" x14ac:dyDescent="0.25"/>
    <row r="797" s="1" customFormat="1" ht="15" x14ac:dyDescent="0.25"/>
    <row r="798" s="1" customFormat="1" ht="15" x14ac:dyDescent="0.25"/>
    <row r="799" s="1" customFormat="1" ht="15" x14ac:dyDescent="0.25"/>
    <row r="800" s="1" customFormat="1" ht="15" x14ac:dyDescent="0.25"/>
    <row r="801" s="1" customFormat="1" ht="15" x14ac:dyDescent="0.25"/>
    <row r="802" s="1" customFormat="1" ht="15" x14ac:dyDescent="0.25"/>
    <row r="803" s="1" customFormat="1" ht="15" x14ac:dyDescent="0.25"/>
    <row r="804" s="1" customFormat="1" ht="15" x14ac:dyDescent="0.25"/>
    <row r="805" s="1" customFormat="1" ht="15" x14ac:dyDescent="0.25"/>
    <row r="806" s="1" customFormat="1" ht="15" x14ac:dyDescent="0.25"/>
    <row r="807" s="1" customFormat="1" ht="15" x14ac:dyDescent="0.25"/>
    <row r="808" s="1" customFormat="1" ht="15" x14ac:dyDescent="0.25"/>
    <row r="809" s="1" customFormat="1" ht="15" x14ac:dyDescent="0.25"/>
    <row r="810" s="1" customFormat="1" ht="15" x14ac:dyDescent="0.25"/>
    <row r="811" s="1" customFormat="1" ht="15" x14ac:dyDescent="0.25"/>
    <row r="812" s="1" customFormat="1" ht="15" x14ac:dyDescent="0.25"/>
    <row r="813" s="1" customFormat="1" ht="15" x14ac:dyDescent="0.25"/>
    <row r="814" s="1" customFormat="1" ht="15" x14ac:dyDescent="0.25"/>
    <row r="815" s="1" customFormat="1" ht="15" x14ac:dyDescent="0.25"/>
    <row r="816" s="1" customFormat="1" ht="15" x14ac:dyDescent="0.25"/>
    <row r="817" s="1" customFormat="1" ht="15" x14ac:dyDescent="0.25"/>
    <row r="818" s="1" customFormat="1" ht="15" x14ac:dyDescent="0.25"/>
    <row r="819" s="1" customFormat="1" ht="15" x14ac:dyDescent="0.25"/>
    <row r="820" s="1" customFormat="1" ht="15" x14ac:dyDescent="0.25"/>
    <row r="821" s="1" customFormat="1" ht="15" x14ac:dyDescent="0.25"/>
    <row r="822" s="1" customFormat="1" ht="15" x14ac:dyDescent="0.25"/>
    <row r="823" s="1" customFormat="1" ht="15" x14ac:dyDescent="0.25"/>
    <row r="824" s="1" customFormat="1" ht="15" x14ac:dyDescent="0.25"/>
    <row r="825" s="1" customFormat="1" ht="15" x14ac:dyDescent="0.25"/>
    <row r="826" s="1" customFormat="1" ht="15" x14ac:dyDescent="0.25"/>
    <row r="827" s="1" customFormat="1" ht="15" x14ac:dyDescent="0.25"/>
    <row r="828" s="1" customFormat="1" ht="15" x14ac:dyDescent="0.25"/>
    <row r="829" s="1" customFormat="1" ht="15" x14ac:dyDescent="0.25"/>
    <row r="830" s="1" customFormat="1" ht="15" x14ac:dyDescent="0.25"/>
    <row r="831" s="1" customFormat="1" ht="15" x14ac:dyDescent="0.25"/>
    <row r="832" s="1" customFormat="1" ht="15" x14ac:dyDescent="0.25"/>
    <row r="833" s="1" customFormat="1" ht="15" x14ac:dyDescent="0.25"/>
    <row r="834" s="1" customFormat="1" ht="15" x14ac:dyDescent="0.25"/>
    <row r="835" s="1" customFormat="1" ht="15" x14ac:dyDescent="0.25"/>
    <row r="836" s="1" customFormat="1" ht="15" x14ac:dyDescent="0.25"/>
    <row r="837" s="1" customFormat="1" ht="15" x14ac:dyDescent="0.25"/>
    <row r="838" s="1" customFormat="1" ht="15" x14ac:dyDescent="0.25"/>
    <row r="839" s="1" customFormat="1" ht="15" x14ac:dyDescent="0.25"/>
    <row r="840" s="1" customFormat="1" ht="15" x14ac:dyDescent="0.25"/>
    <row r="841" s="1" customFormat="1" ht="15" x14ac:dyDescent="0.25"/>
    <row r="842" s="1" customFormat="1" ht="15" x14ac:dyDescent="0.25"/>
    <row r="843" s="1" customFormat="1" ht="15" x14ac:dyDescent="0.25"/>
    <row r="844" s="1" customFormat="1" ht="15" x14ac:dyDescent="0.25"/>
    <row r="845" s="1" customFormat="1" ht="15" x14ac:dyDescent="0.25"/>
    <row r="846" s="1" customFormat="1" ht="15" x14ac:dyDescent="0.25"/>
    <row r="847" s="1" customFormat="1" ht="15" x14ac:dyDescent="0.25"/>
    <row r="848" s="1" customFormat="1" ht="15" x14ac:dyDescent="0.25"/>
    <row r="849" s="1" customFormat="1" ht="15" x14ac:dyDescent="0.25"/>
    <row r="850" s="1" customFormat="1" ht="15" x14ac:dyDescent="0.25"/>
    <row r="851" s="1" customFormat="1" ht="15" x14ac:dyDescent="0.25"/>
    <row r="852" s="1" customFormat="1" ht="15" x14ac:dyDescent="0.25"/>
    <row r="853" s="1" customFormat="1" ht="15" x14ac:dyDescent="0.25"/>
    <row r="854" s="1" customFormat="1" ht="15" x14ac:dyDescent="0.25"/>
    <row r="855" s="1" customFormat="1" ht="15" x14ac:dyDescent="0.25"/>
    <row r="856" s="1" customFormat="1" ht="15" x14ac:dyDescent="0.25"/>
    <row r="857" s="1" customFormat="1" ht="15" x14ac:dyDescent="0.25"/>
    <row r="858" s="1" customFormat="1" ht="15" x14ac:dyDescent="0.25"/>
    <row r="859" s="1" customFormat="1" ht="15" x14ac:dyDescent="0.25"/>
    <row r="860" s="1" customFormat="1" ht="15" x14ac:dyDescent="0.25"/>
    <row r="861" s="1" customFormat="1" ht="15" x14ac:dyDescent="0.25"/>
    <row r="862" s="1" customFormat="1" ht="15" x14ac:dyDescent="0.25"/>
    <row r="863" s="1" customFormat="1" ht="15" x14ac:dyDescent="0.25"/>
    <row r="864" s="1" customFormat="1" ht="15" x14ac:dyDescent="0.25"/>
    <row r="865" s="1" customFormat="1" ht="15" x14ac:dyDescent="0.25"/>
    <row r="866" s="1" customFormat="1" ht="15" x14ac:dyDescent="0.25"/>
    <row r="867" s="1" customFormat="1" ht="15" x14ac:dyDescent="0.25"/>
    <row r="868" s="1" customFormat="1" ht="15" x14ac:dyDescent="0.25"/>
    <row r="869" s="1" customFormat="1" ht="15" x14ac:dyDescent="0.25"/>
    <row r="870" s="1" customFormat="1" ht="15" x14ac:dyDescent="0.25"/>
    <row r="871" s="1" customFormat="1" ht="15" x14ac:dyDescent="0.25"/>
    <row r="872" s="1" customFormat="1" ht="15" x14ac:dyDescent="0.25"/>
    <row r="873" s="1" customFormat="1" ht="15" x14ac:dyDescent="0.25"/>
    <row r="874" s="1" customFormat="1" ht="15" x14ac:dyDescent="0.25"/>
    <row r="875" s="1" customFormat="1" ht="15" x14ac:dyDescent="0.25"/>
    <row r="876" s="1" customFormat="1" ht="15" x14ac:dyDescent="0.25"/>
    <row r="877" s="1" customFormat="1" ht="15" x14ac:dyDescent="0.25"/>
    <row r="878" s="1" customFormat="1" ht="15" x14ac:dyDescent="0.25"/>
    <row r="879" s="1" customFormat="1" ht="15" x14ac:dyDescent="0.25"/>
    <row r="880" s="1" customFormat="1" ht="15" x14ac:dyDescent="0.25"/>
    <row r="881" s="1" customFormat="1" ht="15" x14ac:dyDescent="0.25"/>
    <row r="882" s="1" customFormat="1" ht="15" x14ac:dyDescent="0.25"/>
    <row r="883" s="1" customFormat="1" ht="15" x14ac:dyDescent="0.25"/>
    <row r="884" s="1" customFormat="1" ht="15" x14ac:dyDescent="0.25"/>
    <row r="885" s="1" customFormat="1" ht="15" x14ac:dyDescent="0.25"/>
    <row r="886" s="1" customFormat="1" ht="15" x14ac:dyDescent="0.25"/>
    <row r="887" s="1" customFormat="1" ht="15" x14ac:dyDescent="0.25"/>
    <row r="888" s="1" customFormat="1" ht="15" x14ac:dyDescent="0.25"/>
    <row r="889" s="1" customFormat="1" ht="15" x14ac:dyDescent="0.25"/>
    <row r="890" s="1" customFormat="1" ht="15" x14ac:dyDescent="0.25"/>
    <row r="891" s="1" customFormat="1" ht="15" x14ac:dyDescent="0.25"/>
    <row r="892" s="1" customFormat="1" ht="15" x14ac:dyDescent="0.25"/>
    <row r="893" s="1" customFormat="1" ht="15" x14ac:dyDescent="0.25"/>
    <row r="894" s="1" customFormat="1" ht="15" x14ac:dyDescent="0.25"/>
    <row r="895" s="1" customFormat="1" ht="15" x14ac:dyDescent="0.25"/>
    <row r="896" s="1" customFormat="1" ht="15" x14ac:dyDescent="0.25"/>
    <row r="897" s="1" customFormat="1" ht="15" x14ac:dyDescent="0.25"/>
    <row r="898" s="1" customFormat="1" ht="15" x14ac:dyDescent="0.25"/>
    <row r="899" s="1" customFormat="1" ht="15" x14ac:dyDescent="0.25"/>
    <row r="900" s="1" customFormat="1" ht="15" x14ac:dyDescent="0.25"/>
    <row r="901" s="1" customFormat="1" ht="15" x14ac:dyDescent="0.25"/>
    <row r="902" s="1" customFormat="1" ht="15" x14ac:dyDescent="0.25"/>
    <row r="903" s="1" customFormat="1" ht="15" x14ac:dyDescent="0.25"/>
    <row r="904" s="1" customFormat="1" ht="15" x14ac:dyDescent="0.25"/>
    <row r="905" s="1" customFormat="1" ht="15" x14ac:dyDescent="0.25"/>
    <row r="906" s="1" customFormat="1" ht="15" x14ac:dyDescent="0.25"/>
    <row r="907" s="1" customFormat="1" ht="15" x14ac:dyDescent="0.25"/>
    <row r="908" s="1" customFormat="1" ht="15" x14ac:dyDescent="0.25"/>
    <row r="909" s="1" customFormat="1" ht="15" x14ac:dyDescent="0.25"/>
    <row r="910" s="1" customFormat="1" ht="15" x14ac:dyDescent="0.25"/>
    <row r="911" s="1" customFormat="1" ht="15" x14ac:dyDescent="0.25"/>
    <row r="912" s="1" customFormat="1" ht="15" x14ac:dyDescent="0.25"/>
    <row r="913" s="1" customFormat="1" ht="15" x14ac:dyDescent="0.25"/>
    <row r="914" s="1" customFormat="1" ht="15" x14ac:dyDescent="0.25"/>
    <row r="915" s="1" customFormat="1" ht="15" x14ac:dyDescent="0.25"/>
    <row r="916" s="1" customFormat="1" ht="15" x14ac:dyDescent="0.25"/>
    <row r="917" s="1" customFormat="1" ht="15" x14ac:dyDescent="0.25"/>
    <row r="918" s="1" customFormat="1" ht="15" x14ac:dyDescent="0.25"/>
    <row r="919" s="1" customFormat="1" ht="15" x14ac:dyDescent="0.25"/>
    <row r="920" s="1" customFormat="1" ht="15" x14ac:dyDescent="0.25"/>
    <row r="921" s="1" customFormat="1" ht="15" x14ac:dyDescent="0.25"/>
    <row r="922" s="1" customFormat="1" ht="15" x14ac:dyDescent="0.25"/>
    <row r="923" s="1" customFormat="1" ht="15" x14ac:dyDescent="0.25"/>
    <row r="924" s="1" customFormat="1" ht="15" x14ac:dyDescent="0.25"/>
    <row r="925" s="1" customFormat="1" ht="15" x14ac:dyDescent="0.25"/>
    <row r="926" s="1" customFormat="1" ht="15" x14ac:dyDescent="0.25"/>
    <row r="927" s="1" customFormat="1" ht="15" x14ac:dyDescent="0.25"/>
    <row r="928" s="1" customFormat="1" ht="15" x14ac:dyDescent="0.25"/>
    <row r="929" s="1" customFormat="1" ht="15" x14ac:dyDescent="0.25"/>
    <row r="930" s="1" customFormat="1" ht="15" x14ac:dyDescent="0.25"/>
    <row r="931" s="1" customFormat="1" ht="15" x14ac:dyDescent="0.25"/>
    <row r="932" s="1" customFormat="1" ht="15" x14ac:dyDescent="0.25"/>
    <row r="933" s="1" customFormat="1" ht="15" x14ac:dyDescent="0.25"/>
    <row r="934" s="1" customFormat="1" ht="15" x14ac:dyDescent="0.25"/>
    <row r="935" s="1" customFormat="1" ht="15" x14ac:dyDescent="0.25"/>
    <row r="936" s="1" customFormat="1" ht="15" x14ac:dyDescent="0.25"/>
    <row r="937" s="1" customFormat="1" ht="15" x14ac:dyDescent="0.25"/>
    <row r="938" s="1" customFormat="1" ht="15" x14ac:dyDescent="0.25"/>
    <row r="939" s="1" customFormat="1" ht="15" x14ac:dyDescent="0.25"/>
    <row r="940" s="1" customFormat="1" ht="15" x14ac:dyDescent="0.25"/>
    <row r="941" s="1" customFormat="1" ht="15" x14ac:dyDescent="0.25"/>
    <row r="942" s="1" customFormat="1" ht="15" x14ac:dyDescent="0.25"/>
    <row r="943" s="1" customFormat="1" ht="15" x14ac:dyDescent="0.25"/>
    <row r="944" s="1" customFormat="1" ht="15" x14ac:dyDescent="0.25"/>
    <row r="945" s="1" customFormat="1" ht="15" x14ac:dyDescent="0.25"/>
    <row r="946" s="1" customFormat="1" ht="15" x14ac:dyDescent="0.25"/>
    <row r="947" s="1" customFormat="1" ht="15" x14ac:dyDescent="0.25"/>
    <row r="948" s="1" customFormat="1" ht="15" x14ac:dyDescent="0.25"/>
    <row r="949" s="1" customFormat="1" ht="15" x14ac:dyDescent="0.25"/>
    <row r="950" s="1" customFormat="1" ht="15" x14ac:dyDescent="0.25"/>
    <row r="951" s="1" customFormat="1" ht="15" x14ac:dyDescent="0.25"/>
    <row r="952" s="1" customFormat="1" ht="15" x14ac:dyDescent="0.25"/>
    <row r="953" s="1" customFormat="1" ht="15" x14ac:dyDescent="0.25"/>
    <row r="954" s="1" customFormat="1" ht="15" x14ac:dyDescent="0.25"/>
    <row r="955" s="1" customFormat="1" ht="15" x14ac:dyDescent="0.25"/>
    <row r="956" s="1" customFormat="1" ht="15" x14ac:dyDescent="0.25"/>
    <row r="957" s="1" customFormat="1" ht="15" x14ac:dyDescent="0.25"/>
    <row r="958" s="1" customFormat="1" ht="15" x14ac:dyDescent="0.25"/>
    <row r="959" s="1" customFormat="1" ht="15" x14ac:dyDescent="0.25"/>
    <row r="960" s="1" customFormat="1" ht="15" x14ac:dyDescent="0.25"/>
    <row r="961" s="1" customFormat="1" ht="15" x14ac:dyDescent="0.25"/>
    <row r="962" s="1" customFormat="1" ht="15" x14ac:dyDescent="0.25"/>
    <row r="963" s="1" customFormat="1" ht="15" x14ac:dyDescent="0.25"/>
    <row r="964" s="1" customFormat="1" ht="15" x14ac:dyDescent="0.25"/>
    <row r="965" s="1" customFormat="1" ht="15" x14ac:dyDescent="0.25"/>
    <row r="966" s="1" customFormat="1" ht="15" x14ac:dyDescent="0.25"/>
    <row r="967" s="1" customFormat="1" ht="15" x14ac:dyDescent="0.25"/>
    <row r="968" s="1" customFormat="1" ht="15" x14ac:dyDescent="0.25"/>
    <row r="969" s="1" customFormat="1" ht="15" x14ac:dyDescent="0.25"/>
    <row r="970" s="1" customFormat="1" ht="15" x14ac:dyDescent="0.25"/>
    <row r="971" s="1" customFormat="1" ht="15" x14ac:dyDescent="0.25"/>
    <row r="972" s="1" customFormat="1" ht="15" x14ac:dyDescent="0.25"/>
    <row r="973" s="1" customFormat="1" ht="15" x14ac:dyDescent="0.25"/>
    <row r="974" s="1" customFormat="1" ht="15" x14ac:dyDescent="0.25"/>
    <row r="975" s="1" customFormat="1" ht="15" x14ac:dyDescent="0.25"/>
    <row r="976" s="1" customFormat="1" ht="15" x14ac:dyDescent="0.25"/>
    <row r="977" s="1" customFormat="1" ht="15" x14ac:dyDescent="0.25"/>
    <row r="978" s="1" customFormat="1" ht="15" x14ac:dyDescent="0.25"/>
    <row r="979" s="1" customFormat="1" ht="15" x14ac:dyDescent="0.25"/>
    <row r="980" s="1" customFormat="1" ht="15" x14ac:dyDescent="0.25"/>
    <row r="981" s="1" customFormat="1" ht="15" x14ac:dyDescent="0.25"/>
    <row r="982" s="1" customFormat="1" ht="15" x14ac:dyDescent="0.25"/>
    <row r="983" s="1" customFormat="1" ht="15" x14ac:dyDescent="0.25"/>
    <row r="984" s="1" customFormat="1" ht="15" x14ac:dyDescent="0.25"/>
    <row r="985" s="1" customFormat="1" ht="15" x14ac:dyDescent="0.25"/>
    <row r="986" s="1" customFormat="1" ht="15" x14ac:dyDescent="0.25"/>
    <row r="987" s="1" customFormat="1" ht="15" x14ac:dyDescent="0.25"/>
    <row r="988" s="1" customFormat="1" ht="15" x14ac:dyDescent="0.25"/>
    <row r="989" s="1" customFormat="1" ht="15" x14ac:dyDescent="0.25"/>
    <row r="990" s="1" customFormat="1" ht="15" x14ac:dyDescent="0.25"/>
    <row r="991" s="1" customFormat="1" ht="15" x14ac:dyDescent="0.25"/>
    <row r="992" s="1" customFormat="1" ht="15" x14ac:dyDescent="0.25"/>
    <row r="993" s="1" customFormat="1" ht="15" x14ac:dyDescent="0.25"/>
    <row r="994" s="1" customFormat="1" ht="15" x14ac:dyDescent="0.25"/>
    <row r="995" s="1" customFormat="1" ht="15" x14ac:dyDescent="0.25"/>
    <row r="996" s="1" customFormat="1" ht="15" x14ac:dyDescent="0.25"/>
    <row r="997" s="1" customFormat="1" ht="15" x14ac:dyDescent="0.25"/>
    <row r="998" s="1" customFormat="1" ht="15" x14ac:dyDescent="0.25"/>
    <row r="999" s="1" customFormat="1" ht="15" x14ac:dyDescent="0.25"/>
    <row r="1000" s="1" customFormat="1" ht="15" x14ac:dyDescent="0.25"/>
    <row r="1001" s="1" customFormat="1" ht="15" x14ac:dyDescent="0.25"/>
    <row r="1002" s="1" customFormat="1" ht="15" x14ac:dyDescent="0.25"/>
    <row r="1003" s="1" customFormat="1" ht="15" x14ac:dyDescent="0.25"/>
    <row r="1004" s="1" customFormat="1" ht="15" x14ac:dyDescent="0.25"/>
    <row r="1005" s="1" customFormat="1" ht="15" x14ac:dyDescent="0.25"/>
    <row r="1006" s="1" customFormat="1" ht="15" x14ac:dyDescent="0.25"/>
    <row r="1007" s="1" customFormat="1" ht="15" x14ac:dyDescent="0.25"/>
    <row r="1008" s="1" customFormat="1" ht="15" x14ac:dyDescent="0.25"/>
    <row r="1009" s="1" customFormat="1" ht="15" x14ac:dyDescent="0.25"/>
    <row r="1010" s="1" customFormat="1" ht="15" x14ac:dyDescent="0.25"/>
    <row r="1011" s="1" customFormat="1" ht="15" x14ac:dyDescent="0.25"/>
    <row r="1012" s="1" customFormat="1" ht="15" x14ac:dyDescent="0.25"/>
    <row r="1013" s="1" customFormat="1" ht="15" x14ac:dyDescent="0.25"/>
    <row r="1014" s="1" customFormat="1" ht="15" x14ac:dyDescent="0.25"/>
    <row r="1015" s="1" customFormat="1" ht="15" x14ac:dyDescent="0.25"/>
    <row r="1016" s="1" customFormat="1" ht="15" x14ac:dyDescent="0.25"/>
    <row r="1017" s="1" customFormat="1" ht="15" x14ac:dyDescent="0.25"/>
    <row r="1018" s="1" customFormat="1" ht="15" x14ac:dyDescent="0.25"/>
    <row r="1019" s="1" customFormat="1" ht="15" x14ac:dyDescent="0.25"/>
    <row r="1020" s="1" customFormat="1" ht="15" x14ac:dyDescent="0.25"/>
    <row r="1021" s="1" customFormat="1" ht="15" x14ac:dyDescent="0.25"/>
    <row r="1022" s="1" customFormat="1" ht="15" x14ac:dyDescent="0.25"/>
    <row r="1023" s="1" customFormat="1" ht="15" x14ac:dyDescent="0.25"/>
    <row r="1024" s="1" customFormat="1" ht="15" x14ac:dyDescent="0.25"/>
    <row r="1025" s="1" customFormat="1" ht="15" x14ac:dyDescent="0.25"/>
    <row r="1026" s="1" customFormat="1" ht="15" x14ac:dyDescent="0.25"/>
    <row r="1027" s="1" customFormat="1" ht="15" x14ac:dyDescent="0.25"/>
    <row r="1028" s="1" customFormat="1" ht="15" x14ac:dyDescent="0.25"/>
    <row r="1029" s="1" customFormat="1" ht="15" x14ac:dyDescent="0.25"/>
    <row r="1030" s="1" customFormat="1" ht="15" x14ac:dyDescent="0.25"/>
    <row r="1031" s="1" customFormat="1" ht="15" x14ac:dyDescent="0.25"/>
    <row r="1032" s="1" customFormat="1" ht="15" x14ac:dyDescent="0.25"/>
    <row r="1033" s="1" customFormat="1" ht="15" x14ac:dyDescent="0.25"/>
    <row r="1034" s="1" customFormat="1" ht="15" x14ac:dyDescent="0.25"/>
    <row r="1035" s="1" customFormat="1" ht="15" x14ac:dyDescent="0.25"/>
    <row r="1036" s="1" customFormat="1" ht="15" x14ac:dyDescent="0.25"/>
    <row r="1037" s="1" customFormat="1" ht="15" x14ac:dyDescent="0.25"/>
    <row r="1038" s="1" customFormat="1" ht="15" x14ac:dyDescent="0.25"/>
    <row r="1039" s="1" customFormat="1" ht="15" x14ac:dyDescent="0.25"/>
    <row r="1040" s="1" customFormat="1" ht="15" x14ac:dyDescent="0.25"/>
    <row r="1041" s="1" customFormat="1" ht="15" x14ac:dyDescent="0.25"/>
    <row r="1042" s="1" customFormat="1" ht="15" x14ac:dyDescent="0.25"/>
    <row r="1043" s="1" customFormat="1" ht="15" x14ac:dyDescent="0.25"/>
    <row r="1044" s="1" customFormat="1" ht="15" x14ac:dyDescent="0.25"/>
    <row r="1045" s="1" customFormat="1" ht="15" x14ac:dyDescent="0.25"/>
    <row r="1046" s="1" customFormat="1" ht="15" x14ac:dyDescent="0.25"/>
    <row r="1047" s="1" customFormat="1" ht="15" x14ac:dyDescent="0.25"/>
    <row r="1048" s="1" customFormat="1" ht="15" x14ac:dyDescent="0.25"/>
    <row r="1049" s="1" customFormat="1" ht="15" x14ac:dyDescent="0.25"/>
    <row r="1050" s="1" customFormat="1" ht="15" x14ac:dyDescent="0.25"/>
    <row r="1051" s="1" customFormat="1" ht="15" x14ac:dyDescent="0.25"/>
    <row r="1052" s="1" customFormat="1" ht="15" x14ac:dyDescent="0.25"/>
    <row r="1053" s="1" customFormat="1" ht="15" x14ac:dyDescent="0.25"/>
    <row r="1054" s="1" customFormat="1" ht="15" x14ac:dyDescent="0.25"/>
    <row r="1055" s="1" customFormat="1" ht="15" x14ac:dyDescent="0.25"/>
    <row r="1056" s="1" customFormat="1" ht="15" x14ac:dyDescent="0.25"/>
    <row r="1057" s="1" customFormat="1" ht="15" x14ac:dyDescent="0.25"/>
    <row r="1058" s="1" customFormat="1" ht="15" x14ac:dyDescent="0.25"/>
    <row r="1059" s="1" customFormat="1" ht="15" x14ac:dyDescent="0.25"/>
    <row r="1060" s="1" customFormat="1" ht="15" x14ac:dyDescent="0.25"/>
    <row r="1061" s="1" customFormat="1" ht="15" x14ac:dyDescent="0.25"/>
    <row r="1062" s="1" customFormat="1" ht="15" x14ac:dyDescent="0.25"/>
    <row r="1063" s="1" customFormat="1" ht="15" x14ac:dyDescent="0.25"/>
    <row r="1064" s="1" customFormat="1" ht="15" x14ac:dyDescent="0.25"/>
    <row r="1065" s="1" customFormat="1" ht="15" x14ac:dyDescent="0.25"/>
    <row r="1066" s="1" customFormat="1" ht="15" x14ac:dyDescent="0.25"/>
    <row r="1067" s="1" customFormat="1" ht="15" x14ac:dyDescent="0.25"/>
    <row r="1068" s="1" customFormat="1" ht="15" x14ac:dyDescent="0.25"/>
    <row r="1069" s="1" customFormat="1" ht="15" x14ac:dyDescent="0.25"/>
    <row r="1070" s="1" customFormat="1" ht="15" x14ac:dyDescent="0.25"/>
    <row r="1071" s="1" customFormat="1" ht="15" x14ac:dyDescent="0.25"/>
    <row r="1072" s="1" customFormat="1" ht="15" x14ac:dyDescent="0.25"/>
    <row r="1073" s="1" customFormat="1" ht="15" x14ac:dyDescent="0.25"/>
    <row r="1074" s="1" customFormat="1" ht="15" x14ac:dyDescent="0.25"/>
    <row r="1075" s="1" customFormat="1" ht="15" x14ac:dyDescent="0.25"/>
    <row r="1076" s="1" customFormat="1" ht="15" x14ac:dyDescent="0.25"/>
    <row r="1077" s="1" customFormat="1" ht="15" x14ac:dyDescent="0.25"/>
    <row r="1078" s="1" customFormat="1" ht="15" x14ac:dyDescent="0.25"/>
    <row r="1079" s="1" customFormat="1" ht="15" x14ac:dyDescent="0.25"/>
    <row r="1080" s="1" customFormat="1" ht="15" x14ac:dyDescent="0.25"/>
    <row r="1081" s="1" customFormat="1" ht="15" x14ac:dyDescent="0.25"/>
    <row r="1082" s="1" customFormat="1" ht="15" x14ac:dyDescent="0.25"/>
    <row r="1083" s="1" customFormat="1" ht="15" x14ac:dyDescent="0.25"/>
    <row r="1084" s="1" customFormat="1" ht="15" x14ac:dyDescent="0.25"/>
    <row r="1085" s="1" customFormat="1" ht="15" x14ac:dyDescent="0.25"/>
    <row r="1086" s="1" customFormat="1" ht="15" x14ac:dyDescent="0.25"/>
    <row r="1087" s="1" customFormat="1" ht="15" x14ac:dyDescent="0.25"/>
    <row r="1088" s="1" customFormat="1" ht="15" x14ac:dyDescent="0.25"/>
    <row r="1089" s="1" customFormat="1" ht="15" x14ac:dyDescent="0.25"/>
    <row r="1090" s="1" customFormat="1" ht="15" x14ac:dyDescent="0.25"/>
    <row r="1091" s="1" customFormat="1" ht="15" x14ac:dyDescent="0.25"/>
    <row r="1092" s="1" customFormat="1" ht="15" x14ac:dyDescent="0.25"/>
    <row r="1093" s="1" customFormat="1" ht="15" x14ac:dyDescent="0.25"/>
    <row r="1094" s="1" customFormat="1" ht="15" x14ac:dyDescent="0.25"/>
    <row r="1095" s="1" customFormat="1" ht="15" x14ac:dyDescent="0.25"/>
    <row r="1096" s="1" customFormat="1" ht="15" x14ac:dyDescent="0.25"/>
    <row r="1097" s="1" customFormat="1" ht="15" x14ac:dyDescent="0.25"/>
    <row r="1098" s="1" customFormat="1" ht="15" x14ac:dyDescent="0.25"/>
    <row r="1099" s="1" customFormat="1" ht="15" x14ac:dyDescent="0.25"/>
    <row r="1100" s="1" customFormat="1" ht="15" x14ac:dyDescent="0.25"/>
    <row r="1101" s="1" customFormat="1" ht="15" x14ac:dyDescent="0.25"/>
    <row r="1102" s="1" customFormat="1" ht="15" x14ac:dyDescent="0.25"/>
    <row r="1103" s="1" customFormat="1" ht="15" x14ac:dyDescent="0.25"/>
    <row r="1104" s="1" customFormat="1" ht="15" x14ac:dyDescent="0.25"/>
    <row r="1105" s="1" customFormat="1" ht="15" x14ac:dyDescent="0.25"/>
    <row r="1106" s="1" customFormat="1" ht="15" x14ac:dyDescent="0.25"/>
    <row r="1107" s="1" customFormat="1" ht="15" x14ac:dyDescent="0.25"/>
    <row r="1108" s="1" customFormat="1" ht="15" x14ac:dyDescent="0.25"/>
    <row r="1109" s="1" customFormat="1" ht="15" x14ac:dyDescent="0.25"/>
    <row r="1110" s="1" customFormat="1" ht="15" x14ac:dyDescent="0.25"/>
    <row r="1111" s="1" customFormat="1" ht="15" x14ac:dyDescent="0.25"/>
    <row r="1112" s="1" customFormat="1" ht="15" x14ac:dyDescent="0.25"/>
    <row r="1113" s="1" customFormat="1" ht="15" x14ac:dyDescent="0.25"/>
    <row r="1114" s="1" customFormat="1" ht="15" x14ac:dyDescent="0.25"/>
    <row r="1115" s="1" customFormat="1" ht="15" x14ac:dyDescent="0.25"/>
    <row r="1116" s="1" customFormat="1" ht="15" x14ac:dyDescent="0.25"/>
    <row r="1117" s="1" customFormat="1" ht="15" x14ac:dyDescent="0.25"/>
    <row r="1118" s="1" customFormat="1" ht="15" x14ac:dyDescent="0.25"/>
    <row r="1119" s="1" customFormat="1" ht="15" x14ac:dyDescent="0.25"/>
    <row r="1120" s="1" customFormat="1" ht="15" x14ac:dyDescent="0.25"/>
    <row r="1121" s="1" customFormat="1" ht="15" x14ac:dyDescent="0.25"/>
    <row r="1122" s="1" customFormat="1" ht="15" x14ac:dyDescent="0.25"/>
    <row r="1123" s="1" customFormat="1" ht="15" x14ac:dyDescent="0.25"/>
    <row r="1124" s="1" customFormat="1" ht="15" x14ac:dyDescent="0.25"/>
    <row r="1125" s="1" customFormat="1" ht="15" x14ac:dyDescent="0.25"/>
    <row r="1126" s="1" customFormat="1" ht="15" x14ac:dyDescent="0.25"/>
    <row r="1127" s="1" customFormat="1" ht="15" x14ac:dyDescent="0.25"/>
    <row r="1128" s="1" customFormat="1" ht="15" x14ac:dyDescent="0.25"/>
    <row r="1129" s="1" customFormat="1" ht="15" x14ac:dyDescent="0.25"/>
    <row r="1130" s="1" customFormat="1" ht="15" x14ac:dyDescent="0.25"/>
    <row r="1131" s="1" customFormat="1" ht="15" x14ac:dyDescent="0.25"/>
    <row r="1132" s="1" customFormat="1" ht="15" x14ac:dyDescent="0.25"/>
    <row r="1133" s="1" customFormat="1" ht="15" x14ac:dyDescent="0.25"/>
    <row r="1134" s="1" customFormat="1" ht="15" x14ac:dyDescent="0.25"/>
    <row r="1135" s="1" customFormat="1" ht="15" x14ac:dyDescent="0.25"/>
    <row r="1136" s="1" customFormat="1" ht="15" x14ac:dyDescent="0.25"/>
    <row r="1137" s="1" customFormat="1" ht="15" x14ac:dyDescent="0.25"/>
    <row r="1138" s="1" customFormat="1" ht="15" x14ac:dyDescent="0.25"/>
    <row r="1139" s="1" customFormat="1" ht="15" x14ac:dyDescent="0.25"/>
    <row r="1140" s="1" customFormat="1" ht="15" x14ac:dyDescent="0.25"/>
    <row r="1141" s="1" customFormat="1" ht="15" x14ac:dyDescent="0.25"/>
    <row r="1142" s="1" customFormat="1" ht="15" x14ac:dyDescent="0.25"/>
    <row r="1143" s="1" customFormat="1" ht="15" x14ac:dyDescent="0.25"/>
    <row r="1144" s="1" customFormat="1" ht="15" x14ac:dyDescent="0.25"/>
    <row r="1145" s="1" customFormat="1" ht="15" x14ac:dyDescent="0.25"/>
    <row r="1146" s="1" customFormat="1" ht="15" x14ac:dyDescent="0.25"/>
    <row r="1147" s="1" customFormat="1" ht="15" x14ac:dyDescent="0.25"/>
    <row r="1148" s="1" customFormat="1" ht="15" x14ac:dyDescent="0.25"/>
    <row r="1149" s="1" customFormat="1" ht="15" x14ac:dyDescent="0.25"/>
    <row r="1150" s="1" customFormat="1" ht="15" x14ac:dyDescent="0.25"/>
    <row r="1151" s="1" customFormat="1" ht="15" x14ac:dyDescent="0.25"/>
    <row r="1152" s="1" customFormat="1" ht="15" x14ac:dyDescent="0.25"/>
    <row r="1153" s="1" customFormat="1" ht="15" x14ac:dyDescent="0.25"/>
    <row r="1154" s="1" customFormat="1" ht="15" x14ac:dyDescent="0.25"/>
    <row r="1155" s="1" customFormat="1" ht="15" x14ac:dyDescent="0.25"/>
    <row r="1156" s="1" customFormat="1" ht="15" x14ac:dyDescent="0.25"/>
    <row r="1157" s="1" customFormat="1" ht="15" x14ac:dyDescent="0.25"/>
    <row r="1158" s="1" customFormat="1" ht="15" x14ac:dyDescent="0.25"/>
    <row r="1159" s="1" customFormat="1" ht="15" x14ac:dyDescent="0.25"/>
    <row r="1160" s="1" customFormat="1" ht="15" x14ac:dyDescent="0.25"/>
    <row r="1161" s="1" customFormat="1" ht="15" x14ac:dyDescent="0.25"/>
    <row r="1162" s="1" customFormat="1" ht="15" x14ac:dyDescent="0.25"/>
    <row r="1163" s="1" customFormat="1" ht="15" x14ac:dyDescent="0.25"/>
    <row r="1164" s="1" customFormat="1" ht="15" x14ac:dyDescent="0.25"/>
    <row r="1165" s="1" customFormat="1" ht="15" x14ac:dyDescent="0.25"/>
    <row r="1166" s="1" customFormat="1" ht="15" x14ac:dyDescent="0.25"/>
    <row r="1167" s="1" customFormat="1" ht="15" x14ac:dyDescent="0.25"/>
    <row r="1168" s="1" customFormat="1" ht="15" x14ac:dyDescent="0.25"/>
    <row r="1169" s="1" customFormat="1" ht="15" x14ac:dyDescent="0.25"/>
    <row r="1170" s="1" customFormat="1" ht="15" x14ac:dyDescent="0.25"/>
    <row r="1171" s="1" customFormat="1" ht="15" x14ac:dyDescent="0.25"/>
    <row r="1172" s="1" customFormat="1" ht="15" x14ac:dyDescent="0.25"/>
    <row r="1173" s="1" customFormat="1" ht="15" x14ac:dyDescent="0.25"/>
    <row r="1174" s="1" customFormat="1" ht="15" x14ac:dyDescent="0.25"/>
    <row r="1175" s="1" customFormat="1" ht="15" x14ac:dyDescent="0.25"/>
    <row r="1176" s="1" customFormat="1" ht="15" x14ac:dyDescent="0.25"/>
    <row r="1177" s="1" customFormat="1" ht="15" x14ac:dyDescent="0.25"/>
    <row r="1178" s="1" customFormat="1" ht="15" x14ac:dyDescent="0.25"/>
    <row r="1179" s="1" customFormat="1" ht="15" x14ac:dyDescent="0.25"/>
    <row r="1180" s="1" customFormat="1" ht="15" x14ac:dyDescent="0.25"/>
    <row r="1181" s="1" customFormat="1" ht="15" x14ac:dyDescent="0.25"/>
    <row r="1182" s="1" customFormat="1" ht="15" x14ac:dyDescent="0.25"/>
    <row r="1183" s="1" customFormat="1" ht="15" x14ac:dyDescent="0.25"/>
    <row r="1184" s="1" customFormat="1" ht="15" x14ac:dyDescent="0.25"/>
    <row r="1185" s="1" customFormat="1" ht="15" x14ac:dyDescent="0.25"/>
    <row r="1186" s="1" customFormat="1" ht="15" x14ac:dyDescent="0.25"/>
    <row r="1187" s="1" customFormat="1" ht="15" x14ac:dyDescent="0.25"/>
    <row r="1188" s="1" customFormat="1" ht="15" x14ac:dyDescent="0.25"/>
    <row r="1189" s="1" customFormat="1" ht="15" x14ac:dyDescent="0.25"/>
    <row r="1190" s="1" customFormat="1" ht="15" x14ac:dyDescent="0.25"/>
    <row r="1191" s="1" customFormat="1" ht="15" x14ac:dyDescent="0.25"/>
    <row r="1192" s="1" customFormat="1" ht="15" x14ac:dyDescent="0.25"/>
    <row r="1193" s="1" customFormat="1" ht="15" x14ac:dyDescent="0.25"/>
    <row r="1194" s="1" customFormat="1" ht="15" x14ac:dyDescent="0.25"/>
    <row r="1195" s="1" customFormat="1" ht="15" x14ac:dyDescent="0.25"/>
    <row r="1196" s="1" customFormat="1" ht="15" x14ac:dyDescent="0.25"/>
    <row r="1197" s="1" customFormat="1" ht="15" x14ac:dyDescent="0.25"/>
    <row r="1198" s="1" customFormat="1" ht="15" x14ac:dyDescent="0.25"/>
    <row r="1199" s="1" customFormat="1" ht="15" x14ac:dyDescent="0.25"/>
    <row r="1200" s="1" customFormat="1" ht="15" x14ac:dyDescent="0.25"/>
    <row r="1201" s="1" customFormat="1" ht="15" x14ac:dyDescent="0.25"/>
    <row r="1202" s="1" customFormat="1" ht="15" x14ac:dyDescent="0.25"/>
    <row r="1203" s="1" customFormat="1" ht="15" x14ac:dyDescent="0.25"/>
    <row r="1204" s="1" customFormat="1" ht="15" x14ac:dyDescent="0.25"/>
    <row r="1205" s="1" customFormat="1" ht="15" x14ac:dyDescent="0.25"/>
    <row r="1206" s="1" customFormat="1" ht="15" x14ac:dyDescent="0.25"/>
    <row r="1207" s="1" customFormat="1" ht="15" x14ac:dyDescent="0.25"/>
    <row r="1208" s="1" customFormat="1" ht="15" x14ac:dyDescent="0.25"/>
    <row r="1209" s="1" customFormat="1" ht="15" x14ac:dyDescent="0.25"/>
    <row r="1210" s="1" customFormat="1" ht="15" x14ac:dyDescent="0.25"/>
    <row r="1211" s="1" customFormat="1" ht="15" x14ac:dyDescent="0.25"/>
    <row r="1212" s="1" customFormat="1" ht="15" x14ac:dyDescent="0.25"/>
    <row r="1213" s="1" customFormat="1" ht="15" x14ac:dyDescent="0.25"/>
    <row r="1214" s="1" customFormat="1" ht="15" x14ac:dyDescent="0.25"/>
    <row r="1215" s="1" customFormat="1" ht="15" x14ac:dyDescent="0.25"/>
    <row r="1216" s="1" customFormat="1" ht="15" x14ac:dyDescent="0.25"/>
    <row r="1217" s="1" customFormat="1" ht="15" x14ac:dyDescent="0.25"/>
    <row r="1218" s="1" customFormat="1" ht="15" x14ac:dyDescent="0.25"/>
    <row r="1219" s="1" customFormat="1" ht="15" x14ac:dyDescent="0.25"/>
    <row r="1220" s="1" customFormat="1" ht="15" x14ac:dyDescent="0.25"/>
    <row r="1221" s="1" customFormat="1" ht="15" x14ac:dyDescent="0.25"/>
    <row r="1222" s="1" customFormat="1" ht="15" x14ac:dyDescent="0.25"/>
    <row r="1223" s="1" customFormat="1" ht="15" x14ac:dyDescent="0.25"/>
    <row r="1224" s="1" customFormat="1" ht="15" x14ac:dyDescent="0.25"/>
    <row r="1225" s="1" customFormat="1" ht="15" x14ac:dyDescent="0.25"/>
    <row r="1226" s="1" customFormat="1" ht="15" x14ac:dyDescent="0.25"/>
    <row r="1227" s="1" customFormat="1" ht="15" x14ac:dyDescent="0.25"/>
    <row r="1228" s="1" customFormat="1" ht="15" x14ac:dyDescent="0.25"/>
    <row r="1229" s="1" customFormat="1" ht="15" x14ac:dyDescent="0.25"/>
    <row r="1230" s="1" customFormat="1" ht="15" x14ac:dyDescent="0.25"/>
    <row r="1231" s="1" customFormat="1" ht="15" x14ac:dyDescent="0.25"/>
    <row r="1232" s="1" customFormat="1" ht="15" x14ac:dyDescent="0.25"/>
    <row r="1233" s="1" customFormat="1" ht="15" x14ac:dyDescent="0.25"/>
    <row r="1234" s="1" customFormat="1" ht="15" x14ac:dyDescent="0.25"/>
    <row r="1235" s="1" customFormat="1" ht="15" x14ac:dyDescent="0.25"/>
    <row r="1236" s="1" customFormat="1" ht="15" x14ac:dyDescent="0.25"/>
    <row r="1237" s="1" customFormat="1" ht="15" x14ac:dyDescent="0.25"/>
    <row r="1238" s="1" customFormat="1" ht="15" x14ac:dyDescent="0.25"/>
    <row r="1239" s="1" customFormat="1" ht="15" x14ac:dyDescent="0.25"/>
    <row r="1240" s="1" customFormat="1" ht="15" x14ac:dyDescent="0.25"/>
    <row r="1241" s="1" customFormat="1" ht="15" x14ac:dyDescent="0.25"/>
    <row r="1242" s="1" customFormat="1" ht="15" x14ac:dyDescent="0.25"/>
    <row r="1243" s="1" customFormat="1" ht="15" x14ac:dyDescent="0.25"/>
    <row r="1244" s="1" customFormat="1" ht="15" x14ac:dyDescent="0.25"/>
    <row r="1245" s="1" customFormat="1" ht="15" x14ac:dyDescent="0.25"/>
    <row r="1246" s="1" customFormat="1" ht="15" x14ac:dyDescent="0.25"/>
    <row r="1247" s="1" customFormat="1" ht="15" x14ac:dyDescent="0.25"/>
    <row r="1248" s="1" customFormat="1" ht="15" x14ac:dyDescent="0.25"/>
    <row r="1249" s="1" customFormat="1" ht="15" x14ac:dyDescent="0.25"/>
    <row r="1250" s="1" customFormat="1" ht="15" x14ac:dyDescent="0.25"/>
    <row r="1251" s="1" customFormat="1" ht="15" x14ac:dyDescent="0.25"/>
    <row r="1252" s="1" customFormat="1" ht="15" x14ac:dyDescent="0.25"/>
    <row r="1253" s="1" customFormat="1" ht="15" x14ac:dyDescent="0.25"/>
    <row r="1254" s="1" customFormat="1" ht="15" x14ac:dyDescent="0.25"/>
    <row r="1255" s="1" customFormat="1" ht="15" x14ac:dyDescent="0.25"/>
    <row r="1256" s="1" customFormat="1" ht="15" x14ac:dyDescent="0.25"/>
    <row r="1257" s="1" customFormat="1" ht="15" x14ac:dyDescent="0.25"/>
    <row r="1258" s="1" customFormat="1" ht="15" x14ac:dyDescent="0.25"/>
    <row r="1259" s="1" customFormat="1" ht="15" x14ac:dyDescent="0.25"/>
    <row r="1260" s="1" customFormat="1" ht="15" x14ac:dyDescent="0.25"/>
    <row r="1261" s="1" customFormat="1" ht="15" x14ac:dyDescent="0.25"/>
    <row r="1262" s="1" customFormat="1" ht="15" x14ac:dyDescent="0.25"/>
    <row r="1263" s="1" customFormat="1" ht="15" x14ac:dyDescent="0.25"/>
    <row r="1264" s="1" customFormat="1" ht="15" x14ac:dyDescent="0.25"/>
    <row r="1265" s="1" customFormat="1" ht="15" x14ac:dyDescent="0.25"/>
    <row r="1266" s="1" customFormat="1" ht="15" x14ac:dyDescent="0.25"/>
    <row r="1267" s="1" customFormat="1" ht="15" x14ac:dyDescent="0.25"/>
    <row r="1268" s="1" customFormat="1" ht="15" x14ac:dyDescent="0.25"/>
    <row r="1269" s="1" customFormat="1" ht="15" x14ac:dyDescent="0.25"/>
    <row r="1270" s="1" customFormat="1" ht="15" x14ac:dyDescent="0.25"/>
    <row r="1271" s="1" customFormat="1" ht="15" x14ac:dyDescent="0.25"/>
    <row r="1272" s="1" customFormat="1" ht="15" x14ac:dyDescent="0.25"/>
    <row r="1273" s="1" customFormat="1" ht="15" x14ac:dyDescent="0.25"/>
    <row r="1274" s="1" customFormat="1" ht="15" x14ac:dyDescent="0.25"/>
    <row r="1275" s="1" customFormat="1" ht="15" x14ac:dyDescent="0.25"/>
    <row r="1276" s="1" customFormat="1" ht="15" x14ac:dyDescent="0.25"/>
    <row r="1277" s="1" customFormat="1" ht="15" x14ac:dyDescent="0.25"/>
    <row r="1278" s="1" customFormat="1" ht="15" x14ac:dyDescent="0.25"/>
    <row r="1279" s="1" customFormat="1" ht="15" x14ac:dyDescent="0.25"/>
    <row r="1280" s="1" customFormat="1" ht="15" x14ac:dyDescent="0.25"/>
    <row r="1281" s="1" customFormat="1" ht="15" x14ac:dyDescent="0.25"/>
    <row r="1282" s="1" customFormat="1" ht="15" x14ac:dyDescent="0.25"/>
    <row r="1283" s="1" customFormat="1" ht="15" x14ac:dyDescent="0.25"/>
    <row r="1284" s="1" customFormat="1" ht="15" x14ac:dyDescent="0.25"/>
    <row r="1285" s="1" customFormat="1" ht="15" x14ac:dyDescent="0.25"/>
    <row r="1286" s="1" customFormat="1" ht="15" x14ac:dyDescent="0.25"/>
    <row r="1287" s="1" customFormat="1" ht="15" x14ac:dyDescent="0.25"/>
    <row r="1288" s="1" customFormat="1" ht="15" x14ac:dyDescent="0.25"/>
    <row r="1289" s="1" customFormat="1" ht="15" x14ac:dyDescent="0.25"/>
    <row r="1290" s="1" customFormat="1" ht="15" x14ac:dyDescent="0.25"/>
    <row r="1291" s="1" customFormat="1" ht="15" x14ac:dyDescent="0.25"/>
    <row r="1292" s="1" customFormat="1" ht="15" x14ac:dyDescent="0.25"/>
    <row r="1293" s="1" customFormat="1" ht="15" x14ac:dyDescent="0.25"/>
    <row r="1294" s="1" customFormat="1" ht="15" x14ac:dyDescent="0.25"/>
    <row r="1295" s="1" customFormat="1" ht="15" x14ac:dyDescent="0.25"/>
    <row r="1296" s="1" customFormat="1" ht="15" x14ac:dyDescent="0.25"/>
    <row r="1297" s="1" customFormat="1" ht="15" x14ac:dyDescent="0.25"/>
    <row r="1298" s="1" customFormat="1" ht="15" x14ac:dyDescent="0.25"/>
    <row r="1299" s="1" customFormat="1" ht="15" x14ac:dyDescent="0.25"/>
    <row r="1300" s="1" customFormat="1" ht="15" x14ac:dyDescent="0.25"/>
    <row r="1301" s="1" customFormat="1" ht="15" x14ac:dyDescent="0.25"/>
    <row r="1302" s="1" customFormat="1" ht="15" x14ac:dyDescent="0.25"/>
    <row r="1303" s="1" customFormat="1" ht="15" x14ac:dyDescent="0.25"/>
    <row r="1304" s="1" customFormat="1" ht="15" x14ac:dyDescent="0.25"/>
    <row r="1305" s="1" customFormat="1" ht="15" x14ac:dyDescent="0.25"/>
    <row r="1306" s="1" customFormat="1" ht="15" x14ac:dyDescent="0.25"/>
    <row r="1307" s="1" customFormat="1" ht="15" x14ac:dyDescent="0.25"/>
    <row r="1308" s="1" customFormat="1" ht="15" x14ac:dyDescent="0.25"/>
    <row r="1309" s="1" customFormat="1" ht="15" x14ac:dyDescent="0.25"/>
    <row r="1310" s="1" customFormat="1" ht="15" x14ac:dyDescent="0.25"/>
    <row r="1311" s="1" customFormat="1" ht="15" x14ac:dyDescent="0.25"/>
    <row r="1312" s="1" customFormat="1" ht="15" x14ac:dyDescent="0.25"/>
    <row r="1313" s="1" customFormat="1" ht="15" x14ac:dyDescent="0.25"/>
    <row r="1314" s="1" customFormat="1" ht="15" x14ac:dyDescent="0.25"/>
    <row r="1315" s="1" customFormat="1" ht="15" x14ac:dyDescent="0.25"/>
    <row r="1316" s="1" customFormat="1" ht="15" x14ac:dyDescent="0.25"/>
    <row r="1317" s="1" customFormat="1" ht="15" x14ac:dyDescent="0.25"/>
    <row r="1318" s="1" customFormat="1" ht="15" x14ac:dyDescent="0.25"/>
    <row r="1319" s="1" customFormat="1" ht="15" x14ac:dyDescent="0.25"/>
    <row r="1320" s="1" customFormat="1" ht="15" x14ac:dyDescent="0.25"/>
    <row r="1321" s="1" customFormat="1" ht="15" x14ac:dyDescent="0.25"/>
    <row r="1322" s="1" customFormat="1" ht="15" x14ac:dyDescent="0.25"/>
    <row r="1323" s="1" customFormat="1" ht="15" x14ac:dyDescent="0.25"/>
    <row r="1324" s="1" customFormat="1" ht="15" x14ac:dyDescent="0.25"/>
    <row r="1325" s="1" customFormat="1" ht="15" x14ac:dyDescent="0.25"/>
    <row r="1326" s="1" customFormat="1" ht="15" x14ac:dyDescent="0.25"/>
    <row r="1327" s="1" customFormat="1" ht="15" x14ac:dyDescent="0.25"/>
    <row r="1328" s="1" customFormat="1" ht="15" x14ac:dyDescent="0.25"/>
    <row r="1329" s="1" customFormat="1" ht="15" x14ac:dyDescent="0.25"/>
    <row r="1330" s="1" customFormat="1" ht="15" x14ac:dyDescent="0.25"/>
    <row r="1331" s="1" customFormat="1" ht="15" x14ac:dyDescent="0.25"/>
    <row r="1332" s="1" customFormat="1" ht="15" x14ac:dyDescent="0.25"/>
    <row r="1333" s="1" customFormat="1" ht="15" x14ac:dyDescent="0.25"/>
    <row r="1334" s="1" customFormat="1" ht="15" x14ac:dyDescent="0.25"/>
    <row r="1335" s="1" customFormat="1" ht="15" x14ac:dyDescent="0.25"/>
    <row r="1336" s="1" customFormat="1" ht="15" x14ac:dyDescent="0.25"/>
    <row r="1337" s="1" customFormat="1" ht="15" x14ac:dyDescent="0.25"/>
    <row r="1338" s="1" customFormat="1" ht="15" x14ac:dyDescent="0.25"/>
    <row r="1339" s="1" customFormat="1" ht="15" x14ac:dyDescent="0.25"/>
    <row r="1340" s="1" customFormat="1" ht="15" x14ac:dyDescent="0.25"/>
    <row r="1341" s="1" customFormat="1" ht="15" x14ac:dyDescent="0.25"/>
    <row r="1342" s="1" customFormat="1" ht="15" x14ac:dyDescent="0.25"/>
    <row r="1343" s="1" customFormat="1" ht="15" x14ac:dyDescent="0.25"/>
    <row r="1344" s="1" customFormat="1" ht="15" x14ac:dyDescent="0.25"/>
    <row r="1345" s="1" customFormat="1" ht="15" x14ac:dyDescent="0.25"/>
    <row r="1346" s="1" customFormat="1" ht="15" x14ac:dyDescent="0.25"/>
    <row r="1347" s="1" customFormat="1" ht="15" x14ac:dyDescent="0.25"/>
    <row r="1348" s="1" customFormat="1" ht="15" x14ac:dyDescent="0.25"/>
    <row r="1349" s="1" customFormat="1" ht="15" x14ac:dyDescent="0.25"/>
    <row r="1350" s="1" customFormat="1" ht="15" x14ac:dyDescent="0.25"/>
    <row r="1351" s="1" customFormat="1" ht="15" x14ac:dyDescent="0.25"/>
    <row r="1352" s="1" customFormat="1" ht="15" x14ac:dyDescent="0.25"/>
    <row r="1353" s="1" customFormat="1" ht="15" x14ac:dyDescent="0.25"/>
    <row r="1354" s="1" customFormat="1" ht="15" x14ac:dyDescent="0.25"/>
    <row r="1355" s="1" customFormat="1" ht="15" x14ac:dyDescent="0.25"/>
    <row r="1356" s="1" customFormat="1" ht="15" x14ac:dyDescent="0.25"/>
    <row r="1357" s="1" customFormat="1" ht="15" x14ac:dyDescent="0.25"/>
    <row r="1358" s="1" customFormat="1" ht="15" x14ac:dyDescent="0.25"/>
    <row r="1359" s="1" customFormat="1" ht="15" x14ac:dyDescent="0.25"/>
    <row r="1360" s="1" customFormat="1" ht="15" x14ac:dyDescent="0.25"/>
    <row r="1361" s="1" customFormat="1" ht="15" x14ac:dyDescent="0.25"/>
    <row r="1362" s="1" customFormat="1" ht="15" x14ac:dyDescent="0.25"/>
    <row r="1363" s="1" customFormat="1" ht="15" x14ac:dyDescent="0.25"/>
    <row r="1364" s="1" customFormat="1" ht="15" x14ac:dyDescent="0.25"/>
    <row r="1365" s="1" customFormat="1" ht="15" x14ac:dyDescent="0.25"/>
    <row r="1366" s="1" customFormat="1" ht="15" x14ac:dyDescent="0.25"/>
    <row r="1367" s="1" customFormat="1" ht="15" x14ac:dyDescent="0.25"/>
    <row r="1368" s="1" customFormat="1" ht="15" x14ac:dyDescent="0.25"/>
    <row r="1369" s="1" customFormat="1" ht="15" x14ac:dyDescent="0.25"/>
    <row r="1370" s="1" customFormat="1" ht="15" x14ac:dyDescent="0.25"/>
    <row r="1371" s="1" customFormat="1" ht="15" x14ac:dyDescent="0.25"/>
    <row r="1372" s="1" customFormat="1" ht="15" x14ac:dyDescent="0.25"/>
    <row r="1373" s="1" customFormat="1" ht="15" x14ac:dyDescent="0.25"/>
    <row r="1374" s="1" customFormat="1" ht="15" x14ac:dyDescent="0.25"/>
    <row r="1375" s="1" customFormat="1" ht="15" x14ac:dyDescent="0.25"/>
    <row r="1376" s="1" customFormat="1" ht="15" x14ac:dyDescent="0.25"/>
    <row r="1377" s="1" customFormat="1" ht="15" x14ac:dyDescent="0.25"/>
    <row r="1378" s="1" customFormat="1" ht="15" x14ac:dyDescent="0.25"/>
    <row r="1379" s="1" customFormat="1" ht="15" x14ac:dyDescent="0.25"/>
    <row r="1380" s="1" customFormat="1" ht="15" x14ac:dyDescent="0.25"/>
    <row r="1381" s="1" customFormat="1" ht="15" x14ac:dyDescent="0.25"/>
    <row r="1382" s="1" customFormat="1" ht="15" x14ac:dyDescent="0.25"/>
    <row r="1383" s="1" customFormat="1" ht="15" x14ac:dyDescent="0.25"/>
    <row r="1384" s="1" customFormat="1" ht="15" x14ac:dyDescent="0.25"/>
    <row r="1385" s="1" customFormat="1" ht="15" x14ac:dyDescent="0.25"/>
    <row r="1386" s="1" customFormat="1" ht="15" x14ac:dyDescent="0.25"/>
    <row r="1387" s="1" customFormat="1" ht="15" x14ac:dyDescent="0.25"/>
    <row r="1388" s="1" customFormat="1" ht="15" x14ac:dyDescent="0.25"/>
    <row r="1389" s="1" customFormat="1" ht="15" x14ac:dyDescent="0.25"/>
    <row r="1390" s="1" customFormat="1" ht="15" x14ac:dyDescent="0.25"/>
    <row r="1391" s="1" customFormat="1" ht="15" x14ac:dyDescent="0.25"/>
    <row r="1392" s="1" customFormat="1" ht="15" x14ac:dyDescent="0.25"/>
    <row r="1393" s="1" customFormat="1" ht="15" x14ac:dyDescent="0.25"/>
    <row r="1394" s="1" customFormat="1" ht="15" x14ac:dyDescent="0.25"/>
    <row r="1395" s="1" customFormat="1" ht="15" x14ac:dyDescent="0.25"/>
    <row r="1396" s="1" customFormat="1" ht="15" x14ac:dyDescent="0.25"/>
    <row r="1397" s="1" customFormat="1" ht="15" x14ac:dyDescent="0.25"/>
    <row r="1398" s="1" customFormat="1" ht="15" x14ac:dyDescent="0.25"/>
    <row r="1399" s="1" customFormat="1" ht="15" x14ac:dyDescent="0.25"/>
    <row r="1400" s="1" customFormat="1" ht="15" x14ac:dyDescent="0.25"/>
    <row r="1401" s="1" customFormat="1" ht="15" x14ac:dyDescent="0.25"/>
    <row r="1402" s="1" customFormat="1" ht="15" x14ac:dyDescent="0.25"/>
    <row r="1403" s="1" customFormat="1" ht="15" x14ac:dyDescent="0.25"/>
    <row r="1404" s="1" customFormat="1" ht="15" x14ac:dyDescent="0.25"/>
    <row r="1405" s="1" customFormat="1" ht="15" x14ac:dyDescent="0.25"/>
    <row r="1406" s="1" customFormat="1" ht="15" x14ac:dyDescent="0.25"/>
    <row r="1407" s="1" customFormat="1" ht="15" x14ac:dyDescent="0.25"/>
    <row r="1408" s="1" customFormat="1" ht="15" x14ac:dyDescent="0.25"/>
    <row r="1409" s="1" customFormat="1" ht="15" x14ac:dyDescent="0.25"/>
    <row r="1410" s="1" customFormat="1" ht="15" x14ac:dyDescent="0.25"/>
    <row r="1411" s="1" customFormat="1" ht="15" x14ac:dyDescent="0.25"/>
    <row r="1412" s="1" customFormat="1" ht="15" x14ac:dyDescent="0.25"/>
    <row r="1413" s="1" customFormat="1" ht="15" x14ac:dyDescent="0.25"/>
    <row r="1414" s="1" customFormat="1" ht="15" x14ac:dyDescent="0.25"/>
    <row r="1415" s="1" customFormat="1" ht="15" x14ac:dyDescent="0.25"/>
    <row r="1416" s="1" customFormat="1" ht="15" x14ac:dyDescent="0.25"/>
    <row r="1417" s="1" customFormat="1" ht="15" x14ac:dyDescent="0.25"/>
    <row r="1418" s="1" customFormat="1" ht="15" x14ac:dyDescent="0.25"/>
    <row r="1419" s="1" customFormat="1" ht="15" x14ac:dyDescent="0.25"/>
    <row r="1420" s="1" customFormat="1" ht="15" x14ac:dyDescent="0.25"/>
    <row r="1421" s="1" customFormat="1" ht="15" x14ac:dyDescent="0.25"/>
    <row r="1422" s="1" customFormat="1" ht="15" x14ac:dyDescent="0.25"/>
    <row r="1423" s="1" customFormat="1" ht="15" x14ac:dyDescent="0.25"/>
    <row r="1424" s="1" customFormat="1" ht="15" x14ac:dyDescent="0.25"/>
    <row r="1425" s="1" customFormat="1" ht="15" x14ac:dyDescent="0.25"/>
    <row r="1426" s="1" customFormat="1" ht="15" x14ac:dyDescent="0.25"/>
    <row r="1427" s="1" customFormat="1" ht="15" x14ac:dyDescent="0.25"/>
    <row r="1428" s="1" customFormat="1" ht="15" x14ac:dyDescent="0.25"/>
    <row r="1429" s="1" customFormat="1" ht="15" x14ac:dyDescent="0.25"/>
    <row r="1430" s="1" customFormat="1" ht="15" x14ac:dyDescent="0.25"/>
    <row r="1431" s="1" customFormat="1" ht="15" x14ac:dyDescent="0.25"/>
    <row r="1432" s="1" customFormat="1" ht="15" x14ac:dyDescent="0.25"/>
    <row r="1433" s="1" customFormat="1" ht="15" x14ac:dyDescent="0.25"/>
    <row r="1434" s="1" customFormat="1" ht="15" x14ac:dyDescent="0.25"/>
    <row r="1435" s="1" customFormat="1" ht="15" x14ac:dyDescent="0.25"/>
    <row r="1436" s="1" customFormat="1" ht="15" x14ac:dyDescent="0.25"/>
    <row r="1437" s="1" customFormat="1" ht="15" x14ac:dyDescent="0.25"/>
    <row r="1438" s="1" customFormat="1" ht="15" x14ac:dyDescent="0.25"/>
    <row r="1439" s="1" customFormat="1" ht="15" x14ac:dyDescent="0.25"/>
    <row r="1440" s="1" customFormat="1" ht="15" x14ac:dyDescent="0.25"/>
    <row r="1441" s="1" customFormat="1" ht="15" x14ac:dyDescent="0.25"/>
    <row r="1442" s="1" customFormat="1" ht="15" x14ac:dyDescent="0.25"/>
    <row r="1443" s="1" customFormat="1" ht="15" x14ac:dyDescent="0.25"/>
    <row r="1444" s="1" customFormat="1" ht="15" x14ac:dyDescent="0.25"/>
    <row r="1445" s="1" customFormat="1" ht="15" x14ac:dyDescent="0.25"/>
    <row r="1446" s="1" customFormat="1" ht="15" x14ac:dyDescent="0.25"/>
    <row r="1447" s="1" customFormat="1" ht="15" x14ac:dyDescent="0.25"/>
    <row r="1448" s="1" customFormat="1" ht="15" x14ac:dyDescent="0.25"/>
    <row r="1449" s="1" customFormat="1" ht="15" x14ac:dyDescent="0.25"/>
    <row r="1450" s="1" customFormat="1" ht="15" x14ac:dyDescent="0.25"/>
    <row r="1451" s="1" customFormat="1" ht="15" x14ac:dyDescent="0.25"/>
    <row r="1452" s="1" customFormat="1" ht="15" x14ac:dyDescent="0.25"/>
    <row r="1453" s="1" customFormat="1" ht="15" x14ac:dyDescent="0.25"/>
    <row r="1454" s="1" customFormat="1" ht="15" x14ac:dyDescent="0.25"/>
    <row r="1455" s="1" customFormat="1" ht="15" x14ac:dyDescent="0.25"/>
    <row r="1456" s="1" customFormat="1" ht="15" x14ac:dyDescent="0.25"/>
    <row r="1457" s="1" customFormat="1" ht="15" x14ac:dyDescent="0.25"/>
    <row r="1458" s="1" customFormat="1" ht="15" x14ac:dyDescent="0.25"/>
    <row r="1459" s="1" customFormat="1" ht="15" x14ac:dyDescent="0.25"/>
    <row r="1460" s="1" customFormat="1" ht="15" x14ac:dyDescent="0.25"/>
    <row r="1461" s="1" customFormat="1" ht="15" x14ac:dyDescent="0.25"/>
    <row r="1462" s="1" customFormat="1" ht="15" x14ac:dyDescent="0.25"/>
    <row r="1463" s="1" customFormat="1" ht="15" x14ac:dyDescent="0.25"/>
    <row r="1464" s="1" customFormat="1" ht="15" x14ac:dyDescent="0.25"/>
    <row r="1465" s="1" customFormat="1" ht="15" x14ac:dyDescent="0.25"/>
    <row r="1466" s="1" customFormat="1" ht="15" x14ac:dyDescent="0.25"/>
    <row r="1467" s="1" customFormat="1" ht="15" x14ac:dyDescent="0.25"/>
    <row r="1468" s="1" customFormat="1" ht="15" x14ac:dyDescent="0.25"/>
    <row r="1469" s="1" customFormat="1" ht="15" x14ac:dyDescent="0.25"/>
    <row r="1470" s="1" customFormat="1" ht="15" x14ac:dyDescent="0.25"/>
    <row r="1471" s="1" customFormat="1" ht="15" x14ac:dyDescent="0.25"/>
    <row r="1472" s="1" customFormat="1" ht="15" x14ac:dyDescent="0.25"/>
    <row r="1473" s="1" customFormat="1" ht="15" x14ac:dyDescent="0.25"/>
    <row r="1474" s="1" customFormat="1" ht="15" x14ac:dyDescent="0.25"/>
    <row r="1475" s="1" customFormat="1" ht="15" x14ac:dyDescent="0.25"/>
    <row r="1476" s="1" customFormat="1" ht="15" x14ac:dyDescent="0.25"/>
    <row r="1477" s="1" customFormat="1" ht="15" x14ac:dyDescent="0.25"/>
    <row r="1478" s="1" customFormat="1" ht="15" x14ac:dyDescent="0.25"/>
    <row r="1479" s="1" customFormat="1" ht="15" x14ac:dyDescent="0.25"/>
    <row r="1480" s="1" customFormat="1" ht="15" x14ac:dyDescent="0.25"/>
    <row r="1481" s="1" customFormat="1" ht="15" x14ac:dyDescent="0.25"/>
    <row r="1482" s="1" customFormat="1" ht="15" x14ac:dyDescent="0.25"/>
    <row r="1483" s="1" customFormat="1" ht="15" x14ac:dyDescent="0.25"/>
    <row r="1484" s="1" customFormat="1" ht="15" x14ac:dyDescent="0.25"/>
    <row r="1485" s="1" customFormat="1" ht="15" x14ac:dyDescent="0.25"/>
    <row r="1486" s="1" customFormat="1" ht="15" x14ac:dyDescent="0.25"/>
    <row r="1487" s="1" customFormat="1" ht="15" x14ac:dyDescent="0.25"/>
    <row r="1488" s="1" customFormat="1" ht="15" x14ac:dyDescent="0.25"/>
    <row r="1489" s="1" customFormat="1" ht="15" x14ac:dyDescent="0.25"/>
    <row r="1490" s="1" customFormat="1" ht="15" x14ac:dyDescent="0.25"/>
    <row r="1491" s="1" customFormat="1" ht="15" x14ac:dyDescent="0.25"/>
    <row r="1492" s="1" customFormat="1" ht="15" x14ac:dyDescent="0.25"/>
    <row r="1493" s="1" customFormat="1" ht="15" x14ac:dyDescent="0.25"/>
    <row r="1494" s="1" customFormat="1" ht="15" x14ac:dyDescent="0.25"/>
    <row r="1495" s="1" customFormat="1" ht="15" x14ac:dyDescent="0.25"/>
    <row r="1496" s="1" customFormat="1" ht="15" x14ac:dyDescent="0.25"/>
    <row r="1497" s="1" customFormat="1" ht="15" x14ac:dyDescent="0.25"/>
    <row r="1498" s="1" customFormat="1" ht="15" x14ac:dyDescent="0.25"/>
    <row r="1499" s="1" customFormat="1" ht="15" x14ac:dyDescent="0.25"/>
    <row r="1500" s="1" customFormat="1" ht="15" x14ac:dyDescent="0.25"/>
    <row r="1501" s="1" customFormat="1" ht="15" x14ac:dyDescent="0.25"/>
    <row r="1502" s="1" customFormat="1" ht="15" x14ac:dyDescent="0.25"/>
    <row r="1503" s="1" customFormat="1" ht="15" x14ac:dyDescent="0.25"/>
    <row r="1504" s="1" customFormat="1" ht="15" x14ac:dyDescent="0.25"/>
    <row r="1505" s="1" customFormat="1" ht="15" x14ac:dyDescent="0.25"/>
    <row r="1506" s="1" customFormat="1" ht="15" x14ac:dyDescent="0.25"/>
    <row r="1507" s="1" customFormat="1" ht="15" x14ac:dyDescent="0.25"/>
    <row r="1508" s="1" customFormat="1" ht="15" x14ac:dyDescent="0.25"/>
    <row r="1509" s="1" customFormat="1" ht="15" x14ac:dyDescent="0.25"/>
    <row r="1510" s="1" customFormat="1" ht="15" x14ac:dyDescent="0.25"/>
    <row r="1511" s="1" customFormat="1" ht="15" x14ac:dyDescent="0.25"/>
    <row r="1512" s="1" customFormat="1" ht="15" x14ac:dyDescent="0.25"/>
    <row r="1513" s="1" customFormat="1" ht="15" x14ac:dyDescent="0.25"/>
    <row r="1514" s="1" customFormat="1" ht="15" x14ac:dyDescent="0.25"/>
    <row r="1515" s="1" customFormat="1" ht="15" x14ac:dyDescent="0.25"/>
    <row r="1516" s="1" customFormat="1" ht="15" x14ac:dyDescent="0.25"/>
    <row r="1517" s="1" customFormat="1" ht="15" x14ac:dyDescent="0.25"/>
    <row r="1518" s="1" customFormat="1" ht="15" x14ac:dyDescent="0.25"/>
    <row r="1519" s="1" customFormat="1" ht="15" x14ac:dyDescent="0.25"/>
    <row r="1520" s="1" customFormat="1" ht="15" x14ac:dyDescent="0.25"/>
    <row r="1521" s="1" customFormat="1" ht="15" x14ac:dyDescent="0.25"/>
    <row r="1522" s="1" customFormat="1" ht="15" x14ac:dyDescent="0.25"/>
    <row r="1523" s="1" customFormat="1" ht="15" x14ac:dyDescent="0.25"/>
    <row r="1524" s="1" customFormat="1" ht="15" x14ac:dyDescent="0.25"/>
    <row r="1525" s="1" customFormat="1" ht="15" x14ac:dyDescent="0.25"/>
    <row r="1526" s="1" customFormat="1" ht="15" x14ac:dyDescent="0.25"/>
    <row r="1527" s="1" customFormat="1" ht="15" x14ac:dyDescent="0.25"/>
    <row r="1528" s="1" customFormat="1" ht="15" x14ac:dyDescent="0.25"/>
    <row r="1529" s="1" customFormat="1" ht="15" x14ac:dyDescent="0.25"/>
    <row r="1530" s="1" customFormat="1" ht="15" x14ac:dyDescent="0.25"/>
    <row r="1531" s="1" customFormat="1" ht="15" x14ac:dyDescent="0.25"/>
    <row r="1532" s="1" customFormat="1" ht="15" x14ac:dyDescent="0.25"/>
    <row r="1533" s="1" customFormat="1" ht="15" x14ac:dyDescent="0.25"/>
    <row r="1534" s="1" customFormat="1" ht="15" x14ac:dyDescent="0.25"/>
    <row r="1535" s="1" customFormat="1" ht="15" x14ac:dyDescent="0.25"/>
    <row r="1536" s="1" customFormat="1" ht="15" x14ac:dyDescent="0.25"/>
    <row r="1537" s="1" customFormat="1" ht="15" x14ac:dyDescent="0.25"/>
    <row r="1538" s="1" customFormat="1" ht="15" x14ac:dyDescent="0.25"/>
    <row r="1539" s="1" customFormat="1" ht="15" x14ac:dyDescent="0.25"/>
    <row r="1540" s="1" customFormat="1" ht="15" x14ac:dyDescent="0.25"/>
    <row r="1541" s="1" customFormat="1" ht="15" x14ac:dyDescent="0.25"/>
    <row r="1542" s="1" customFormat="1" ht="15" x14ac:dyDescent="0.25"/>
    <row r="1543" s="1" customFormat="1" ht="15" x14ac:dyDescent="0.25"/>
    <row r="1544" s="1" customFormat="1" ht="15" x14ac:dyDescent="0.25"/>
    <row r="1545" s="1" customFormat="1" ht="15" x14ac:dyDescent="0.25"/>
    <row r="1546" s="1" customFormat="1" ht="15" x14ac:dyDescent="0.25"/>
    <row r="1547" s="1" customFormat="1" ht="15" x14ac:dyDescent="0.25"/>
    <row r="1548" s="1" customFormat="1" ht="15" x14ac:dyDescent="0.25"/>
    <row r="1549" s="1" customFormat="1" ht="15" x14ac:dyDescent="0.25"/>
    <row r="1550" s="1" customFormat="1" ht="15" x14ac:dyDescent="0.25"/>
    <row r="1551" s="1" customFormat="1" ht="15" x14ac:dyDescent="0.25"/>
    <row r="1552" s="1" customFormat="1" ht="15" x14ac:dyDescent="0.25"/>
    <row r="1553" s="1" customFormat="1" ht="15" x14ac:dyDescent="0.25"/>
    <row r="1554" s="1" customFormat="1" ht="15" x14ac:dyDescent="0.25"/>
    <row r="1555" s="1" customFormat="1" ht="15" x14ac:dyDescent="0.25"/>
    <row r="1556" s="1" customFormat="1" ht="15" x14ac:dyDescent="0.25"/>
    <row r="1557" s="1" customFormat="1" ht="15" x14ac:dyDescent="0.25"/>
    <row r="1558" s="1" customFormat="1" ht="15" x14ac:dyDescent="0.25"/>
    <row r="1559" s="1" customFormat="1" ht="15" x14ac:dyDescent="0.25"/>
    <row r="1560" s="1" customFormat="1" ht="15" x14ac:dyDescent="0.25"/>
    <row r="1561" s="1" customFormat="1" ht="15" x14ac:dyDescent="0.25"/>
    <row r="1562" s="1" customFormat="1" ht="15" x14ac:dyDescent="0.25"/>
    <row r="1563" s="1" customFormat="1" ht="15" x14ac:dyDescent="0.25"/>
    <row r="1564" s="1" customFormat="1" ht="15" x14ac:dyDescent="0.25"/>
    <row r="1565" s="1" customFormat="1" ht="15" x14ac:dyDescent="0.25"/>
    <row r="1566" s="1" customFormat="1" ht="15" x14ac:dyDescent="0.25"/>
    <row r="1567" s="1" customFormat="1" ht="15" x14ac:dyDescent="0.25"/>
    <row r="1568" s="1" customFormat="1" ht="15" x14ac:dyDescent="0.25"/>
    <row r="1569" s="1" customFormat="1" ht="15" x14ac:dyDescent="0.25"/>
    <row r="1570" s="1" customFormat="1" ht="15" x14ac:dyDescent="0.25"/>
    <row r="1571" s="1" customFormat="1" ht="15" x14ac:dyDescent="0.25"/>
    <row r="1572" s="1" customFormat="1" ht="15" x14ac:dyDescent="0.25"/>
    <row r="1573" s="1" customFormat="1" ht="15" x14ac:dyDescent="0.25"/>
    <row r="1574" s="1" customFormat="1" ht="15" x14ac:dyDescent="0.25"/>
    <row r="1575" s="1" customFormat="1" ht="15" x14ac:dyDescent="0.25"/>
    <row r="1576" s="1" customFormat="1" ht="15" x14ac:dyDescent="0.25"/>
    <row r="1577" s="1" customFormat="1" ht="15" x14ac:dyDescent="0.25"/>
    <row r="1578" s="1" customFormat="1" ht="15" x14ac:dyDescent="0.25"/>
    <row r="1579" s="1" customFormat="1" ht="15" x14ac:dyDescent="0.25"/>
    <row r="1580" s="1" customFormat="1" ht="15" x14ac:dyDescent="0.25"/>
    <row r="1581" s="1" customFormat="1" ht="15" x14ac:dyDescent="0.25"/>
    <row r="1582" s="1" customFormat="1" ht="15" x14ac:dyDescent="0.25"/>
    <row r="1583" s="1" customFormat="1" ht="15" x14ac:dyDescent="0.25"/>
    <row r="1584" s="1" customFormat="1" ht="15" x14ac:dyDescent="0.25"/>
    <row r="1585" s="1" customFormat="1" ht="15" x14ac:dyDescent="0.25"/>
    <row r="1586" s="1" customFormat="1" ht="15" x14ac:dyDescent="0.25"/>
    <row r="1587" s="1" customFormat="1" ht="15" x14ac:dyDescent="0.25"/>
    <row r="1588" s="1" customFormat="1" ht="15" x14ac:dyDescent="0.25"/>
    <row r="1589" s="1" customFormat="1" ht="15" x14ac:dyDescent="0.25"/>
    <row r="1590" s="1" customFormat="1" ht="15" x14ac:dyDescent="0.25"/>
    <row r="1591" s="1" customFormat="1" ht="15" x14ac:dyDescent="0.25"/>
    <row r="1592" s="1" customFormat="1" ht="15" x14ac:dyDescent="0.25"/>
    <row r="1593" s="1" customFormat="1" ht="15" x14ac:dyDescent="0.25"/>
    <row r="1594" s="1" customFormat="1" ht="15" x14ac:dyDescent="0.25"/>
    <row r="1595" s="1" customFormat="1" ht="15" x14ac:dyDescent="0.25"/>
    <row r="1596" s="1" customFormat="1" ht="15" x14ac:dyDescent="0.25"/>
    <row r="1597" s="1" customFormat="1" ht="15" x14ac:dyDescent="0.25"/>
    <row r="1598" s="1" customFormat="1" ht="15" x14ac:dyDescent="0.25"/>
    <row r="1599" s="1" customFormat="1" ht="15" x14ac:dyDescent="0.25"/>
    <row r="1600" s="1" customFormat="1" ht="15" x14ac:dyDescent="0.25"/>
    <row r="1601" s="1" customFormat="1" ht="15" x14ac:dyDescent="0.25"/>
    <row r="1602" s="1" customFormat="1" ht="15" x14ac:dyDescent="0.25"/>
    <row r="1603" s="1" customFormat="1" ht="15" x14ac:dyDescent="0.25"/>
    <row r="1604" s="1" customFormat="1" ht="15" x14ac:dyDescent="0.25"/>
    <row r="1605" s="1" customFormat="1" ht="15" x14ac:dyDescent="0.25"/>
    <row r="1606" s="1" customFormat="1" ht="15" x14ac:dyDescent="0.25"/>
    <row r="1607" s="1" customFormat="1" ht="15" x14ac:dyDescent="0.25"/>
    <row r="1608" s="1" customFormat="1" ht="15" x14ac:dyDescent="0.25"/>
    <row r="1609" s="1" customFormat="1" ht="15" x14ac:dyDescent="0.25"/>
    <row r="1610" s="1" customFormat="1" ht="15" x14ac:dyDescent="0.25"/>
    <row r="1611" s="1" customFormat="1" ht="15" x14ac:dyDescent="0.25"/>
    <row r="1612" s="1" customFormat="1" ht="15" x14ac:dyDescent="0.25"/>
    <row r="1613" s="1" customFormat="1" ht="15" x14ac:dyDescent="0.25"/>
    <row r="1614" s="1" customFormat="1" ht="15" x14ac:dyDescent="0.25"/>
    <row r="1615" s="1" customFormat="1" ht="15" x14ac:dyDescent="0.25"/>
    <row r="1616" s="1" customFormat="1" ht="15" x14ac:dyDescent="0.25"/>
    <row r="1617" s="1" customFormat="1" ht="15" x14ac:dyDescent="0.25"/>
    <row r="1618" s="1" customFormat="1" ht="15" x14ac:dyDescent="0.25"/>
    <row r="1619" s="1" customFormat="1" ht="15" x14ac:dyDescent="0.25"/>
    <row r="1620" s="1" customFormat="1" ht="15" x14ac:dyDescent="0.25"/>
    <row r="1621" s="1" customFormat="1" ht="15" x14ac:dyDescent="0.25"/>
    <row r="1622" s="1" customFormat="1" ht="15" x14ac:dyDescent="0.25"/>
    <row r="1623" s="1" customFormat="1" ht="15" x14ac:dyDescent="0.25"/>
    <row r="1624" s="1" customFormat="1" ht="15" x14ac:dyDescent="0.25"/>
    <row r="1625" s="1" customFormat="1" ht="15" x14ac:dyDescent="0.25"/>
    <row r="1626" s="1" customFormat="1" ht="15" x14ac:dyDescent="0.25"/>
    <row r="1627" s="1" customFormat="1" ht="15" x14ac:dyDescent="0.25"/>
    <row r="1628" s="1" customFormat="1" ht="15" x14ac:dyDescent="0.25"/>
    <row r="1629" s="1" customFormat="1" ht="15" x14ac:dyDescent="0.25"/>
    <row r="1630" s="1" customFormat="1" ht="15" x14ac:dyDescent="0.25"/>
    <row r="1631" s="1" customFormat="1" ht="15" x14ac:dyDescent="0.25"/>
    <row r="1632" s="1" customFormat="1" ht="15" x14ac:dyDescent="0.25"/>
    <row r="1633" s="1" customFormat="1" ht="15" x14ac:dyDescent="0.25"/>
    <row r="1634" s="1" customFormat="1" ht="15" x14ac:dyDescent="0.25"/>
    <row r="1635" s="1" customFormat="1" ht="15" x14ac:dyDescent="0.25"/>
    <row r="1636" s="1" customFormat="1" ht="15" x14ac:dyDescent="0.25"/>
    <row r="1637" s="1" customFormat="1" ht="15" x14ac:dyDescent="0.25"/>
    <row r="1638" s="1" customFormat="1" ht="15" x14ac:dyDescent="0.25"/>
    <row r="1639" s="1" customFormat="1" ht="15" x14ac:dyDescent="0.25"/>
    <row r="1640" s="1" customFormat="1" ht="15" x14ac:dyDescent="0.25"/>
    <row r="1641" s="1" customFormat="1" ht="15" x14ac:dyDescent="0.25"/>
    <row r="1642" s="1" customFormat="1" ht="15" x14ac:dyDescent="0.25"/>
    <row r="1643" s="1" customFormat="1" ht="15" x14ac:dyDescent="0.25"/>
    <row r="1644" s="1" customFormat="1" ht="15" x14ac:dyDescent="0.25"/>
    <row r="1645" s="1" customFormat="1" ht="15" x14ac:dyDescent="0.25"/>
    <row r="1646" s="1" customFormat="1" ht="15" x14ac:dyDescent="0.25"/>
    <row r="1647" s="1" customFormat="1" ht="15" x14ac:dyDescent="0.25"/>
    <row r="1648" s="1" customFormat="1" ht="15" x14ac:dyDescent="0.25"/>
    <row r="1649" s="1" customFormat="1" ht="15" x14ac:dyDescent="0.25"/>
    <row r="1650" s="1" customFormat="1" ht="15" x14ac:dyDescent="0.25"/>
    <row r="1651" s="1" customFormat="1" ht="15" x14ac:dyDescent="0.25"/>
    <row r="1652" s="1" customFormat="1" ht="15" x14ac:dyDescent="0.25"/>
    <row r="1653" s="1" customFormat="1" ht="15" x14ac:dyDescent="0.25"/>
    <row r="1654" s="1" customFormat="1" ht="15" x14ac:dyDescent="0.25"/>
    <row r="1655" s="1" customFormat="1" ht="15" x14ac:dyDescent="0.25"/>
    <row r="1656" s="1" customFormat="1" ht="15" x14ac:dyDescent="0.25"/>
    <row r="1657" s="1" customFormat="1" ht="15" x14ac:dyDescent="0.25"/>
    <row r="1658" s="1" customFormat="1" ht="15" x14ac:dyDescent="0.25"/>
    <row r="1659" s="1" customFormat="1" ht="15" x14ac:dyDescent="0.25"/>
    <row r="1660" s="1" customFormat="1" ht="15" x14ac:dyDescent="0.25"/>
    <row r="1661" s="1" customFormat="1" ht="15" x14ac:dyDescent="0.25"/>
    <row r="1662" s="1" customFormat="1" ht="15" x14ac:dyDescent="0.25"/>
    <row r="1663" s="1" customFormat="1" ht="15" x14ac:dyDescent="0.25"/>
    <row r="1664" s="1" customFormat="1" ht="15" x14ac:dyDescent="0.25"/>
    <row r="1665" s="1" customFormat="1" ht="15" x14ac:dyDescent="0.25"/>
    <row r="1666" s="1" customFormat="1" ht="15" x14ac:dyDescent="0.25"/>
    <row r="1667" s="1" customFormat="1" ht="15" x14ac:dyDescent="0.25"/>
    <row r="1668" s="1" customFormat="1" ht="15" x14ac:dyDescent="0.25"/>
    <row r="1669" s="1" customFormat="1" ht="15" x14ac:dyDescent="0.25"/>
    <row r="1670" s="1" customFormat="1" ht="15" x14ac:dyDescent="0.25"/>
    <row r="1671" s="1" customFormat="1" ht="15" x14ac:dyDescent="0.25"/>
    <row r="1672" s="1" customFormat="1" ht="15" x14ac:dyDescent="0.25"/>
    <row r="1673" s="1" customFormat="1" ht="15" x14ac:dyDescent="0.25"/>
    <row r="1674" s="1" customFormat="1" ht="15" x14ac:dyDescent="0.25"/>
    <row r="1675" s="1" customFormat="1" ht="15" x14ac:dyDescent="0.25"/>
    <row r="1676" s="1" customFormat="1" ht="15" x14ac:dyDescent="0.25"/>
    <row r="1677" s="1" customFormat="1" ht="15" x14ac:dyDescent="0.25"/>
    <row r="1678" s="1" customFormat="1" ht="15" x14ac:dyDescent="0.25"/>
    <row r="1679" s="1" customFormat="1" ht="15" x14ac:dyDescent="0.25"/>
    <row r="1680" s="1" customFormat="1" ht="15" x14ac:dyDescent="0.25"/>
    <row r="1681" s="1" customFormat="1" ht="15" x14ac:dyDescent="0.25"/>
    <row r="1682" s="1" customFormat="1" ht="15" x14ac:dyDescent="0.25"/>
    <row r="1683" s="1" customFormat="1" ht="15" x14ac:dyDescent="0.25"/>
    <row r="1684" s="1" customFormat="1" ht="15" x14ac:dyDescent="0.25"/>
    <row r="1685" s="1" customFormat="1" ht="15" x14ac:dyDescent="0.25"/>
    <row r="1686" s="1" customFormat="1" ht="15" x14ac:dyDescent="0.25"/>
    <row r="1687" s="1" customFormat="1" ht="15" x14ac:dyDescent="0.25"/>
    <row r="1688" s="1" customFormat="1" ht="15" x14ac:dyDescent="0.25"/>
    <row r="1689" s="1" customFormat="1" ht="15" x14ac:dyDescent="0.25"/>
    <row r="1690" s="1" customFormat="1" ht="15" x14ac:dyDescent="0.25"/>
    <row r="1691" s="1" customFormat="1" ht="15" x14ac:dyDescent="0.25"/>
    <row r="1692" s="1" customFormat="1" ht="15" x14ac:dyDescent="0.25"/>
    <row r="1693" s="1" customFormat="1" ht="15" x14ac:dyDescent="0.25"/>
    <row r="1694" s="1" customFormat="1" ht="15" x14ac:dyDescent="0.25"/>
    <row r="1695" s="1" customFormat="1" ht="15" x14ac:dyDescent="0.25"/>
    <row r="1696" s="1" customFormat="1" ht="15" x14ac:dyDescent="0.25"/>
    <row r="1697" s="1" customFormat="1" ht="15" x14ac:dyDescent="0.25"/>
    <row r="1698" s="1" customFormat="1" ht="15" x14ac:dyDescent="0.25"/>
    <row r="1699" s="1" customFormat="1" ht="15" x14ac:dyDescent="0.25"/>
    <row r="1700" s="1" customFormat="1" ht="15" x14ac:dyDescent="0.25"/>
    <row r="1701" s="1" customFormat="1" ht="15" x14ac:dyDescent="0.25"/>
    <row r="1702" s="1" customFormat="1" ht="15" x14ac:dyDescent="0.25"/>
    <row r="1703" s="1" customFormat="1" ht="15" x14ac:dyDescent="0.25"/>
    <row r="1704" s="1" customFormat="1" ht="15" x14ac:dyDescent="0.25"/>
    <row r="1705" s="1" customFormat="1" ht="15" x14ac:dyDescent="0.25"/>
    <row r="1706" s="1" customFormat="1" ht="15" x14ac:dyDescent="0.25"/>
    <row r="1707" s="1" customFormat="1" ht="15" x14ac:dyDescent="0.25"/>
    <row r="1708" s="1" customFormat="1" ht="15" x14ac:dyDescent="0.25"/>
    <row r="1709" s="1" customFormat="1" ht="15" x14ac:dyDescent="0.25"/>
    <row r="1710" s="1" customFormat="1" ht="15" x14ac:dyDescent="0.25"/>
    <row r="1711" s="1" customFormat="1" ht="15" x14ac:dyDescent="0.25"/>
    <row r="1712" s="1" customFormat="1" ht="15" x14ac:dyDescent="0.25"/>
    <row r="1713" s="1" customFormat="1" ht="15" x14ac:dyDescent="0.25"/>
    <row r="1714" s="1" customFormat="1" ht="15" x14ac:dyDescent="0.25"/>
    <row r="1715" s="1" customFormat="1" ht="15" x14ac:dyDescent="0.25"/>
    <row r="1716" s="1" customFormat="1" ht="15" x14ac:dyDescent="0.25"/>
    <row r="1717" s="1" customFormat="1" ht="15" x14ac:dyDescent="0.25"/>
    <row r="1718" s="1" customFormat="1" ht="15" x14ac:dyDescent="0.25"/>
    <row r="1719" s="1" customFormat="1" ht="15" x14ac:dyDescent="0.25"/>
    <row r="1720" s="1" customFormat="1" ht="15" x14ac:dyDescent="0.25"/>
    <row r="1721" s="1" customFormat="1" ht="15" x14ac:dyDescent="0.25"/>
    <row r="1722" s="1" customFormat="1" ht="15" x14ac:dyDescent="0.25"/>
    <row r="1723" s="1" customFormat="1" ht="15" x14ac:dyDescent="0.25"/>
    <row r="1724" s="1" customFormat="1" ht="15" x14ac:dyDescent="0.25"/>
    <row r="1725" s="1" customFormat="1" ht="15" x14ac:dyDescent="0.25"/>
    <row r="1726" s="1" customFormat="1" ht="15" x14ac:dyDescent="0.25"/>
    <row r="1727" s="1" customFormat="1" ht="15" x14ac:dyDescent="0.25"/>
    <row r="1728" s="1" customFormat="1" ht="15" x14ac:dyDescent="0.25"/>
    <row r="1729" s="1" customFormat="1" ht="15" x14ac:dyDescent="0.25"/>
    <row r="1730" s="1" customFormat="1" ht="15" x14ac:dyDescent="0.25"/>
    <row r="1731" s="1" customFormat="1" ht="15" x14ac:dyDescent="0.25"/>
    <row r="1732" s="1" customFormat="1" ht="15" x14ac:dyDescent="0.25"/>
    <row r="1733" s="1" customFormat="1" ht="15" x14ac:dyDescent="0.25"/>
    <row r="1734" s="1" customFormat="1" ht="15" x14ac:dyDescent="0.25"/>
    <row r="1735" s="1" customFormat="1" ht="15" x14ac:dyDescent="0.25"/>
    <row r="1736" s="1" customFormat="1" ht="15" x14ac:dyDescent="0.25"/>
    <row r="1737" s="1" customFormat="1" ht="15" x14ac:dyDescent="0.25"/>
    <row r="1738" s="1" customFormat="1" ht="15" x14ac:dyDescent="0.25"/>
    <row r="1739" s="1" customFormat="1" ht="15" x14ac:dyDescent="0.25"/>
    <row r="1740" s="1" customFormat="1" ht="15" x14ac:dyDescent="0.25"/>
    <row r="1741" s="1" customFormat="1" ht="15" x14ac:dyDescent="0.25"/>
    <row r="1742" s="1" customFormat="1" ht="15" x14ac:dyDescent="0.25"/>
    <row r="1743" s="1" customFormat="1" ht="15" x14ac:dyDescent="0.25"/>
    <row r="1744" s="1" customFormat="1" ht="15" x14ac:dyDescent="0.25"/>
    <row r="1745" s="1" customFormat="1" ht="15" x14ac:dyDescent="0.25"/>
    <row r="1746" s="1" customFormat="1" ht="15" x14ac:dyDescent="0.25"/>
    <row r="1747" s="1" customFormat="1" ht="15" x14ac:dyDescent="0.25"/>
    <row r="1748" s="1" customFormat="1" ht="15" x14ac:dyDescent="0.25"/>
    <row r="1749" s="1" customFormat="1" ht="15" x14ac:dyDescent="0.25"/>
    <row r="1750" s="1" customFormat="1" ht="15" x14ac:dyDescent="0.25"/>
    <row r="1751" s="1" customFormat="1" ht="15" x14ac:dyDescent="0.25"/>
    <row r="1752" s="1" customFormat="1" ht="15" x14ac:dyDescent="0.25"/>
    <row r="1753" s="1" customFormat="1" ht="15" x14ac:dyDescent="0.25"/>
    <row r="1754" s="1" customFormat="1" ht="15" x14ac:dyDescent="0.25"/>
    <row r="1755" s="1" customFormat="1" ht="15" x14ac:dyDescent="0.25"/>
    <row r="1756" s="1" customFormat="1" ht="15" x14ac:dyDescent="0.25"/>
    <row r="1757" s="1" customFormat="1" ht="15" x14ac:dyDescent="0.25"/>
    <row r="1758" s="1" customFormat="1" ht="15" x14ac:dyDescent="0.25"/>
    <row r="1759" s="1" customFormat="1" ht="15" x14ac:dyDescent="0.25"/>
    <row r="1760" s="1" customFormat="1" ht="15" x14ac:dyDescent="0.25"/>
    <row r="1761" s="1" customFormat="1" ht="15" x14ac:dyDescent="0.25"/>
    <row r="1762" s="1" customFormat="1" ht="15" x14ac:dyDescent="0.25"/>
    <row r="1763" s="1" customFormat="1" ht="15" x14ac:dyDescent="0.25"/>
    <row r="1764" s="1" customFormat="1" ht="15" x14ac:dyDescent="0.25"/>
    <row r="1765" s="1" customFormat="1" ht="15" x14ac:dyDescent="0.25"/>
    <row r="1766" s="1" customFormat="1" ht="15" x14ac:dyDescent="0.25"/>
    <row r="1767" s="1" customFormat="1" ht="15" x14ac:dyDescent="0.25"/>
    <row r="1768" s="1" customFormat="1" ht="15" x14ac:dyDescent="0.25"/>
    <row r="1769" s="1" customFormat="1" ht="15" x14ac:dyDescent="0.25"/>
    <row r="1770" s="1" customFormat="1" ht="15" x14ac:dyDescent="0.25"/>
    <row r="1771" s="1" customFormat="1" ht="15" x14ac:dyDescent="0.25"/>
    <row r="1772" s="1" customFormat="1" ht="15" x14ac:dyDescent="0.25"/>
    <row r="1773" s="1" customFormat="1" ht="15" x14ac:dyDescent="0.25"/>
    <row r="1774" s="1" customFormat="1" ht="15" x14ac:dyDescent="0.25"/>
    <row r="1775" s="1" customFormat="1" ht="15" x14ac:dyDescent="0.25"/>
    <row r="1776" s="1" customFormat="1" ht="15" x14ac:dyDescent="0.25"/>
    <row r="1777" s="1" customFormat="1" ht="15" x14ac:dyDescent="0.25"/>
    <row r="1778" s="1" customFormat="1" ht="15" x14ac:dyDescent="0.25"/>
    <row r="1779" s="1" customFormat="1" ht="15" x14ac:dyDescent="0.25"/>
    <row r="1780" s="1" customFormat="1" ht="15" x14ac:dyDescent="0.25"/>
    <row r="1781" s="1" customFormat="1" ht="15" x14ac:dyDescent="0.25"/>
    <row r="1782" s="1" customFormat="1" ht="15" x14ac:dyDescent="0.25"/>
    <row r="1783" s="1" customFormat="1" ht="15" x14ac:dyDescent="0.25"/>
    <row r="1784" s="1" customFormat="1" ht="15" x14ac:dyDescent="0.25"/>
    <row r="1785" s="1" customFormat="1" ht="15" x14ac:dyDescent="0.25"/>
    <row r="1786" s="1" customFormat="1" ht="15" x14ac:dyDescent="0.25"/>
    <row r="1787" s="1" customFormat="1" ht="15" x14ac:dyDescent="0.25"/>
    <row r="1788" s="1" customFormat="1" ht="15" x14ac:dyDescent="0.25"/>
    <row r="1789" s="1" customFormat="1" ht="15" x14ac:dyDescent="0.25"/>
    <row r="1790" s="1" customFormat="1" ht="15" x14ac:dyDescent="0.25"/>
    <row r="1791" s="1" customFormat="1" ht="15" x14ac:dyDescent="0.25"/>
    <row r="1792" s="1" customFormat="1" ht="15" x14ac:dyDescent="0.25"/>
    <row r="1793" s="1" customFormat="1" ht="15" x14ac:dyDescent="0.25"/>
    <row r="1794" s="1" customFormat="1" ht="15" x14ac:dyDescent="0.25"/>
    <row r="1795" s="1" customFormat="1" ht="15" x14ac:dyDescent="0.25"/>
    <row r="1796" s="1" customFormat="1" ht="15" x14ac:dyDescent="0.25"/>
    <row r="1797" s="1" customFormat="1" ht="15" x14ac:dyDescent="0.25"/>
    <row r="1798" s="1" customFormat="1" ht="15" x14ac:dyDescent="0.25"/>
    <row r="1799" s="1" customFormat="1" ht="15" x14ac:dyDescent="0.25"/>
    <row r="1800" s="1" customFormat="1" ht="15" x14ac:dyDescent="0.25"/>
    <row r="1801" s="1" customFormat="1" ht="15" x14ac:dyDescent="0.25"/>
    <row r="1802" s="1" customFormat="1" ht="15" x14ac:dyDescent="0.25"/>
    <row r="1803" s="1" customFormat="1" ht="15" x14ac:dyDescent="0.25"/>
    <row r="1804" s="1" customFormat="1" ht="15" x14ac:dyDescent="0.25"/>
    <row r="1805" s="1" customFormat="1" ht="15" x14ac:dyDescent="0.25"/>
    <row r="1806" s="1" customFormat="1" ht="15" x14ac:dyDescent="0.25"/>
    <row r="1807" s="1" customFormat="1" ht="15" x14ac:dyDescent="0.25"/>
    <row r="1808" s="1" customFormat="1" ht="15" x14ac:dyDescent="0.25"/>
    <row r="1809" s="1" customFormat="1" ht="15" x14ac:dyDescent="0.25"/>
    <row r="1810" s="1" customFormat="1" ht="15" x14ac:dyDescent="0.25"/>
    <row r="1811" s="1" customFormat="1" ht="15" x14ac:dyDescent="0.25"/>
    <row r="1812" s="1" customFormat="1" ht="15" x14ac:dyDescent="0.25"/>
    <row r="1813" s="1" customFormat="1" ht="15" x14ac:dyDescent="0.25"/>
    <row r="1814" s="1" customFormat="1" ht="15" x14ac:dyDescent="0.25"/>
    <row r="1815" s="1" customFormat="1" ht="15" x14ac:dyDescent="0.25"/>
    <row r="1816" s="1" customFormat="1" ht="15" x14ac:dyDescent="0.25"/>
    <row r="1817" s="1" customFormat="1" ht="15" x14ac:dyDescent="0.25"/>
    <row r="1818" s="1" customFormat="1" ht="15" x14ac:dyDescent="0.25"/>
    <row r="1819" s="1" customFormat="1" ht="15" x14ac:dyDescent="0.25"/>
    <row r="1820" s="1" customFormat="1" ht="15" x14ac:dyDescent="0.25"/>
    <row r="1821" s="1" customFormat="1" ht="15" x14ac:dyDescent="0.25"/>
    <row r="1822" s="1" customFormat="1" ht="15" x14ac:dyDescent="0.25"/>
    <row r="1823" s="1" customFormat="1" ht="15" x14ac:dyDescent="0.25"/>
    <row r="1824" s="1" customFormat="1" ht="15" x14ac:dyDescent="0.25"/>
    <row r="1825" s="1" customFormat="1" ht="15" x14ac:dyDescent="0.25"/>
    <row r="1826" s="1" customFormat="1" ht="15" x14ac:dyDescent="0.25"/>
    <row r="1827" s="1" customFormat="1" ht="15" x14ac:dyDescent="0.25"/>
    <row r="1828" s="1" customFormat="1" ht="15" x14ac:dyDescent="0.25"/>
    <row r="1829" s="1" customFormat="1" ht="15" x14ac:dyDescent="0.25"/>
    <row r="1830" s="1" customFormat="1" ht="15" x14ac:dyDescent="0.25"/>
    <row r="1831" s="1" customFormat="1" ht="15" x14ac:dyDescent="0.25"/>
    <row r="1832" s="1" customFormat="1" ht="15" x14ac:dyDescent="0.25"/>
    <row r="1833" s="1" customFormat="1" ht="15" x14ac:dyDescent="0.25"/>
    <row r="1834" s="1" customFormat="1" ht="15" x14ac:dyDescent="0.25"/>
    <row r="1835" s="1" customFormat="1" ht="15" x14ac:dyDescent="0.25"/>
    <row r="1836" s="1" customFormat="1" ht="15" x14ac:dyDescent="0.25"/>
    <row r="1837" s="1" customFormat="1" ht="15" x14ac:dyDescent="0.25"/>
    <row r="1838" s="1" customFormat="1" ht="15" x14ac:dyDescent="0.25"/>
    <row r="1839" s="1" customFormat="1" ht="15" x14ac:dyDescent="0.25"/>
    <row r="1840" s="1" customFormat="1" ht="15" x14ac:dyDescent="0.25"/>
    <row r="1841" s="1" customFormat="1" ht="15" x14ac:dyDescent="0.25"/>
    <row r="1842" s="1" customFormat="1" ht="15" x14ac:dyDescent="0.25"/>
    <row r="1843" s="1" customFormat="1" ht="15" x14ac:dyDescent="0.25"/>
    <row r="1844" s="1" customFormat="1" ht="15" x14ac:dyDescent="0.25"/>
    <row r="1845" s="1" customFormat="1" ht="15" x14ac:dyDescent="0.25"/>
    <row r="1846" s="1" customFormat="1" ht="15" x14ac:dyDescent="0.25"/>
    <row r="1847" s="1" customFormat="1" ht="15" x14ac:dyDescent="0.25"/>
    <row r="1848" s="1" customFormat="1" ht="15" x14ac:dyDescent="0.25"/>
    <row r="1849" s="1" customFormat="1" ht="15" x14ac:dyDescent="0.25"/>
    <row r="1850" s="1" customFormat="1" ht="15" x14ac:dyDescent="0.25"/>
    <row r="1851" s="1" customFormat="1" ht="15" x14ac:dyDescent="0.25"/>
    <row r="1852" s="1" customFormat="1" ht="15" x14ac:dyDescent="0.25"/>
    <row r="1853" s="1" customFormat="1" ht="15" x14ac:dyDescent="0.25"/>
    <row r="1854" s="1" customFormat="1" ht="15" x14ac:dyDescent="0.25"/>
    <row r="1855" s="1" customFormat="1" ht="15" x14ac:dyDescent="0.25"/>
    <row r="1856" s="1" customFormat="1" ht="15" x14ac:dyDescent="0.25"/>
    <row r="1857" s="1" customFormat="1" ht="15" x14ac:dyDescent="0.25"/>
    <row r="1858" s="1" customFormat="1" ht="15" x14ac:dyDescent="0.25"/>
    <row r="1859" s="1" customFormat="1" ht="15" x14ac:dyDescent="0.25"/>
    <row r="1860" s="1" customFormat="1" ht="15" x14ac:dyDescent="0.25"/>
    <row r="1861" s="1" customFormat="1" ht="15" x14ac:dyDescent="0.25"/>
    <row r="1862" s="1" customFormat="1" ht="15" x14ac:dyDescent="0.25"/>
    <row r="1863" s="1" customFormat="1" ht="15" x14ac:dyDescent="0.25"/>
    <row r="1864" s="1" customFormat="1" ht="15" x14ac:dyDescent="0.25"/>
    <row r="1865" s="1" customFormat="1" ht="15" x14ac:dyDescent="0.25"/>
    <row r="1866" s="1" customFormat="1" ht="15" x14ac:dyDescent="0.25"/>
    <row r="1867" s="1" customFormat="1" ht="15" x14ac:dyDescent="0.25"/>
    <row r="1868" s="1" customFormat="1" ht="15" x14ac:dyDescent="0.25"/>
    <row r="1869" s="1" customFormat="1" ht="15" x14ac:dyDescent="0.25"/>
    <row r="1870" s="1" customFormat="1" ht="15" x14ac:dyDescent="0.25"/>
    <row r="1871" s="1" customFormat="1" ht="15" x14ac:dyDescent="0.25"/>
    <row r="1872" s="1" customFormat="1" ht="15" x14ac:dyDescent="0.25"/>
    <row r="1873" s="1" customFormat="1" ht="15" x14ac:dyDescent="0.25"/>
    <row r="1874" s="1" customFormat="1" ht="15" x14ac:dyDescent="0.25"/>
    <row r="1875" s="1" customFormat="1" ht="15" x14ac:dyDescent="0.25"/>
    <row r="1876" s="1" customFormat="1" ht="15" x14ac:dyDescent="0.25"/>
    <row r="1877" s="1" customFormat="1" ht="15" x14ac:dyDescent="0.25"/>
    <row r="1878" s="1" customFormat="1" ht="15" x14ac:dyDescent="0.25"/>
    <row r="1879" s="1" customFormat="1" ht="15" x14ac:dyDescent="0.25"/>
    <row r="1880" s="1" customFormat="1" ht="15" x14ac:dyDescent="0.25"/>
    <row r="1881" s="1" customFormat="1" ht="15" x14ac:dyDescent="0.25"/>
    <row r="1882" s="1" customFormat="1" ht="15" x14ac:dyDescent="0.25"/>
    <row r="1883" s="1" customFormat="1" ht="15" x14ac:dyDescent="0.25"/>
    <row r="1884" s="1" customFormat="1" ht="15" x14ac:dyDescent="0.25"/>
    <row r="1885" s="1" customFormat="1" ht="15" x14ac:dyDescent="0.25"/>
    <row r="1886" s="1" customFormat="1" ht="15" x14ac:dyDescent="0.25"/>
    <row r="1887" s="1" customFormat="1" ht="15" x14ac:dyDescent="0.25"/>
    <row r="1888" s="1" customFormat="1" ht="15" x14ac:dyDescent="0.25"/>
    <row r="1889" s="1" customFormat="1" ht="15" x14ac:dyDescent="0.25"/>
    <row r="1890" s="1" customFormat="1" ht="15" x14ac:dyDescent="0.25"/>
    <row r="1891" s="1" customFormat="1" ht="15" x14ac:dyDescent="0.25"/>
    <row r="1892" s="1" customFormat="1" ht="15" x14ac:dyDescent="0.25"/>
    <row r="1893" s="1" customFormat="1" ht="15" x14ac:dyDescent="0.25"/>
    <row r="1894" s="1" customFormat="1" ht="15" x14ac:dyDescent="0.25"/>
    <row r="1895" s="1" customFormat="1" ht="15" x14ac:dyDescent="0.25"/>
    <row r="1896" s="1" customFormat="1" ht="15" x14ac:dyDescent="0.25"/>
    <row r="1897" s="1" customFormat="1" ht="15" x14ac:dyDescent="0.25"/>
    <row r="1898" s="1" customFormat="1" ht="15" x14ac:dyDescent="0.25"/>
    <row r="1899" s="1" customFormat="1" ht="15" x14ac:dyDescent="0.25"/>
    <row r="1900" s="1" customFormat="1" ht="15" x14ac:dyDescent="0.25"/>
    <row r="1901" s="1" customFormat="1" ht="15" x14ac:dyDescent="0.25"/>
    <row r="1902" s="1" customFormat="1" ht="15" x14ac:dyDescent="0.25"/>
    <row r="1903" s="1" customFormat="1" ht="15" x14ac:dyDescent="0.25"/>
    <row r="1904" s="1" customFormat="1" ht="15" x14ac:dyDescent="0.25"/>
    <row r="1905" s="1" customFormat="1" ht="15" x14ac:dyDescent="0.25"/>
    <row r="1906" s="1" customFormat="1" ht="15" x14ac:dyDescent="0.25"/>
    <row r="1907" s="1" customFormat="1" ht="15" x14ac:dyDescent="0.25"/>
    <row r="1908" s="1" customFormat="1" ht="15" x14ac:dyDescent="0.25"/>
    <row r="1909" s="1" customFormat="1" ht="15" x14ac:dyDescent="0.25"/>
    <row r="1910" s="1" customFormat="1" ht="15" x14ac:dyDescent="0.25"/>
    <row r="1911" s="1" customFormat="1" ht="15" x14ac:dyDescent="0.25"/>
    <row r="1912" s="1" customFormat="1" ht="15" x14ac:dyDescent="0.25"/>
    <row r="1913" s="1" customFormat="1" ht="15" x14ac:dyDescent="0.25"/>
    <row r="1914" s="1" customFormat="1" ht="15" x14ac:dyDescent="0.25"/>
    <row r="1915" s="1" customFormat="1" ht="15" x14ac:dyDescent="0.25"/>
    <row r="1916" s="1" customFormat="1" ht="15" x14ac:dyDescent="0.25"/>
    <row r="1917" s="1" customFormat="1" ht="15" x14ac:dyDescent="0.25"/>
    <row r="1918" s="1" customFormat="1" ht="15" x14ac:dyDescent="0.25"/>
    <row r="1919" s="1" customFormat="1" ht="15" x14ac:dyDescent="0.25"/>
    <row r="1920" s="1" customFormat="1" ht="15" x14ac:dyDescent="0.25"/>
    <row r="1921" s="1" customFormat="1" ht="15" x14ac:dyDescent="0.25"/>
    <row r="1922" s="1" customFormat="1" ht="15" x14ac:dyDescent="0.25"/>
    <row r="1923" s="1" customFormat="1" ht="15" x14ac:dyDescent="0.25"/>
    <row r="1924" s="1" customFormat="1" ht="15" x14ac:dyDescent="0.25"/>
    <row r="1925" s="1" customFormat="1" ht="15" x14ac:dyDescent="0.25"/>
    <row r="1926" s="1" customFormat="1" ht="15" x14ac:dyDescent="0.25"/>
    <row r="1927" s="1" customFormat="1" ht="15" x14ac:dyDescent="0.25"/>
    <row r="1928" s="1" customFormat="1" ht="15" x14ac:dyDescent="0.25"/>
    <row r="1929" s="1" customFormat="1" ht="15" x14ac:dyDescent="0.25"/>
    <row r="1930" s="1" customFormat="1" ht="15" x14ac:dyDescent="0.25"/>
    <row r="1931" s="1" customFormat="1" ht="15" x14ac:dyDescent="0.25"/>
    <row r="1932" s="1" customFormat="1" ht="15" x14ac:dyDescent="0.25"/>
    <row r="1933" s="1" customFormat="1" ht="15" x14ac:dyDescent="0.25"/>
    <row r="1934" s="1" customFormat="1" ht="15" x14ac:dyDescent="0.25"/>
    <row r="1935" s="1" customFormat="1" ht="15" x14ac:dyDescent="0.25"/>
    <row r="1936" s="1" customFormat="1" ht="15" x14ac:dyDescent="0.25"/>
    <row r="1937" s="1" customFormat="1" ht="15" x14ac:dyDescent="0.25"/>
    <row r="1938" s="1" customFormat="1" ht="15" x14ac:dyDescent="0.25"/>
    <row r="1939" s="1" customFormat="1" ht="15" x14ac:dyDescent="0.25"/>
    <row r="1940" s="1" customFormat="1" ht="15" x14ac:dyDescent="0.25"/>
    <row r="1941" s="1" customFormat="1" ht="15" x14ac:dyDescent="0.25"/>
    <row r="1942" s="1" customFormat="1" ht="15" x14ac:dyDescent="0.25"/>
    <row r="1943" s="1" customFormat="1" ht="15" x14ac:dyDescent="0.25"/>
    <row r="1944" s="1" customFormat="1" ht="15" x14ac:dyDescent="0.25"/>
    <row r="1945" s="1" customFormat="1" ht="15" x14ac:dyDescent="0.25"/>
    <row r="1946" s="1" customFormat="1" ht="15" x14ac:dyDescent="0.25"/>
    <row r="1947" s="1" customFormat="1" ht="15" x14ac:dyDescent="0.25"/>
    <row r="1948" s="1" customFormat="1" ht="15" x14ac:dyDescent="0.25"/>
    <row r="1949" s="1" customFormat="1" ht="15" x14ac:dyDescent="0.25"/>
    <row r="1950" s="1" customFormat="1" ht="15" x14ac:dyDescent="0.25"/>
    <row r="1951" s="1" customFormat="1" ht="15" x14ac:dyDescent="0.25"/>
    <row r="1952" s="1" customFormat="1" ht="15" x14ac:dyDescent="0.25"/>
    <row r="1953" s="1" customFormat="1" ht="15" x14ac:dyDescent="0.25"/>
    <row r="1954" s="1" customFormat="1" ht="15" x14ac:dyDescent="0.25"/>
    <row r="1955" s="1" customFormat="1" ht="15" x14ac:dyDescent="0.25"/>
    <row r="1956" s="1" customFormat="1" ht="15" x14ac:dyDescent="0.25"/>
    <row r="1957" s="1" customFormat="1" ht="15" x14ac:dyDescent="0.25"/>
    <row r="1958" s="1" customFormat="1" ht="15" x14ac:dyDescent="0.25"/>
    <row r="1959" s="1" customFormat="1" ht="15" x14ac:dyDescent="0.25"/>
    <row r="1960" s="1" customFormat="1" ht="15" x14ac:dyDescent="0.25"/>
    <row r="1961" s="1" customFormat="1" ht="15" x14ac:dyDescent="0.25"/>
    <row r="1962" s="1" customFormat="1" ht="15" x14ac:dyDescent="0.25"/>
    <row r="1963" s="1" customFormat="1" ht="15" x14ac:dyDescent="0.25"/>
    <row r="1964" s="1" customFormat="1" ht="15" x14ac:dyDescent="0.25"/>
    <row r="1965" s="1" customFormat="1" ht="15" x14ac:dyDescent="0.25"/>
    <row r="1966" s="1" customFormat="1" ht="15" x14ac:dyDescent="0.25"/>
    <row r="1967" s="1" customFormat="1" ht="15" x14ac:dyDescent="0.25"/>
    <row r="1968" s="1" customFormat="1" ht="15" x14ac:dyDescent="0.25"/>
    <row r="1969" s="1" customFormat="1" ht="15" x14ac:dyDescent="0.25"/>
    <row r="1970" s="1" customFormat="1" ht="15" x14ac:dyDescent="0.25"/>
    <row r="1971" s="1" customFormat="1" ht="15" x14ac:dyDescent="0.25"/>
    <row r="1972" s="1" customFormat="1" ht="15" x14ac:dyDescent="0.25"/>
    <row r="1973" s="1" customFormat="1" ht="15" x14ac:dyDescent="0.25"/>
    <row r="1974" s="1" customFormat="1" ht="15" x14ac:dyDescent="0.25"/>
    <row r="1975" s="1" customFormat="1" ht="15" x14ac:dyDescent="0.25"/>
    <row r="1976" s="1" customFormat="1" ht="15" x14ac:dyDescent="0.25"/>
    <row r="1977" s="1" customFormat="1" ht="15" x14ac:dyDescent="0.25"/>
    <row r="1978" s="1" customFormat="1" ht="15" x14ac:dyDescent="0.25"/>
    <row r="1979" s="1" customFormat="1" ht="15" x14ac:dyDescent="0.25"/>
    <row r="1980" s="1" customFormat="1" ht="15" x14ac:dyDescent="0.25"/>
    <row r="1981" s="1" customFormat="1" ht="15" x14ac:dyDescent="0.25"/>
    <row r="1982" s="1" customFormat="1" ht="15" x14ac:dyDescent="0.25"/>
    <row r="1983" s="1" customFormat="1" ht="15" x14ac:dyDescent="0.25"/>
    <row r="1984" s="1" customFormat="1" ht="15" x14ac:dyDescent="0.25"/>
    <row r="1985" s="1" customFormat="1" ht="15" x14ac:dyDescent="0.25"/>
    <row r="1986" s="1" customFormat="1" ht="15" x14ac:dyDescent="0.25"/>
    <row r="1987" s="1" customFormat="1" ht="15" x14ac:dyDescent="0.25"/>
    <row r="1988" s="1" customFormat="1" ht="15" x14ac:dyDescent="0.25"/>
    <row r="1989" s="1" customFormat="1" ht="15" x14ac:dyDescent="0.25"/>
    <row r="1990" s="1" customFormat="1" ht="15" x14ac:dyDescent="0.25"/>
    <row r="1991" s="1" customFormat="1" ht="15" x14ac:dyDescent="0.25"/>
    <row r="1992" s="1" customFormat="1" ht="15" x14ac:dyDescent="0.25"/>
    <row r="1993" s="1" customFormat="1" ht="15" x14ac:dyDescent="0.25"/>
    <row r="1994" s="1" customFormat="1" ht="15" x14ac:dyDescent="0.25"/>
    <row r="1995" s="1" customFormat="1" ht="15" x14ac:dyDescent="0.25"/>
    <row r="1996" s="1" customFormat="1" ht="15" x14ac:dyDescent="0.25"/>
    <row r="1997" s="1" customFormat="1" ht="15" x14ac:dyDescent="0.25"/>
    <row r="1998" s="1" customFormat="1" ht="15" x14ac:dyDescent="0.25"/>
    <row r="1999" s="1" customFormat="1" ht="15" x14ac:dyDescent="0.25"/>
    <row r="2000" s="1" customFormat="1" ht="15" x14ac:dyDescent="0.25"/>
    <row r="2001" s="1" customFormat="1" ht="15" x14ac:dyDescent="0.25"/>
    <row r="2002" s="1" customFormat="1" ht="15" x14ac:dyDescent="0.25"/>
    <row r="2003" s="1" customFormat="1" ht="15" x14ac:dyDescent="0.25"/>
    <row r="2004" s="1" customFormat="1" ht="15" x14ac:dyDescent="0.25"/>
    <row r="2005" s="1" customFormat="1" ht="15" x14ac:dyDescent="0.25"/>
    <row r="2006" s="1" customFormat="1" ht="15" x14ac:dyDescent="0.25"/>
    <row r="2007" s="1" customFormat="1" ht="15" x14ac:dyDescent="0.25"/>
    <row r="2008" s="1" customFormat="1" ht="15" x14ac:dyDescent="0.25"/>
    <row r="2009" s="1" customFormat="1" ht="15" x14ac:dyDescent="0.25"/>
    <row r="2010" s="1" customFormat="1" ht="15" x14ac:dyDescent="0.25"/>
    <row r="2011" s="1" customFormat="1" ht="15" x14ac:dyDescent="0.25"/>
    <row r="2012" s="1" customFormat="1" ht="15" x14ac:dyDescent="0.25"/>
    <row r="2013" s="1" customFormat="1" ht="15" x14ac:dyDescent="0.25"/>
    <row r="2014" s="1" customFormat="1" ht="15" x14ac:dyDescent="0.25"/>
    <row r="2015" s="1" customFormat="1" ht="15" x14ac:dyDescent="0.25"/>
    <row r="2016" s="1" customFormat="1" ht="15" x14ac:dyDescent="0.25"/>
    <row r="2017" s="1" customFormat="1" ht="15" x14ac:dyDescent="0.25"/>
    <row r="2018" s="1" customFormat="1" ht="15" x14ac:dyDescent="0.25"/>
    <row r="2019" s="1" customFormat="1" ht="15" x14ac:dyDescent="0.25"/>
    <row r="2020" s="1" customFormat="1" ht="15" x14ac:dyDescent="0.25"/>
    <row r="2021" s="1" customFormat="1" ht="15" x14ac:dyDescent="0.25"/>
    <row r="2022" s="1" customFormat="1" ht="15" x14ac:dyDescent="0.25"/>
    <row r="2023" s="1" customFormat="1" ht="15" x14ac:dyDescent="0.25"/>
    <row r="2024" s="1" customFormat="1" ht="15" x14ac:dyDescent="0.25"/>
    <row r="2025" s="1" customFormat="1" ht="15" x14ac:dyDescent="0.25"/>
    <row r="2026" s="1" customFormat="1" ht="15" x14ac:dyDescent="0.25"/>
    <row r="2027" s="1" customFormat="1" ht="15" x14ac:dyDescent="0.25"/>
    <row r="2028" s="1" customFormat="1" ht="15" x14ac:dyDescent="0.25"/>
    <row r="2029" s="1" customFormat="1" ht="15" x14ac:dyDescent="0.25"/>
    <row r="2030" s="1" customFormat="1" ht="15" x14ac:dyDescent="0.25"/>
    <row r="2031" s="1" customFormat="1" ht="15" x14ac:dyDescent="0.25"/>
    <row r="2032" s="1" customFormat="1" ht="15" x14ac:dyDescent="0.25"/>
    <row r="2033" s="1" customFormat="1" ht="15" x14ac:dyDescent="0.25"/>
    <row r="2034" s="1" customFormat="1" ht="15" x14ac:dyDescent="0.25"/>
    <row r="2035" s="1" customFormat="1" ht="15" x14ac:dyDescent="0.25"/>
    <row r="2036" s="1" customFormat="1" ht="15" x14ac:dyDescent="0.25"/>
    <row r="2037" s="1" customFormat="1" ht="15" x14ac:dyDescent="0.25"/>
    <row r="2038" s="1" customFormat="1" ht="15" x14ac:dyDescent="0.25"/>
    <row r="2039" s="1" customFormat="1" ht="15" x14ac:dyDescent="0.25"/>
    <row r="2040" s="1" customFormat="1" ht="15" x14ac:dyDescent="0.25"/>
    <row r="2041" s="1" customFormat="1" ht="15" x14ac:dyDescent="0.25"/>
    <row r="2042" s="1" customFormat="1" ht="15" x14ac:dyDescent="0.25"/>
    <row r="2043" s="1" customFormat="1" ht="15" x14ac:dyDescent="0.25"/>
    <row r="2044" s="1" customFormat="1" ht="15" x14ac:dyDescent="0.25"/>
    <row r="2045" s="1" customFormat="1" ht="15" x14ac:dyDescent="0.25"/>
    <row r="2046" s="1" customFormat="1" ht="15" x14ac:dyDescent="0.25"/>
    <row r="2047" s="1" customFormat="1" ht="15" x14ac:dyDescent="0.25"/>
    <row r="2048" s="1" customFormat="1" ht="15" x14ac:dyDescent="0.25"/>
    <row r="2049" s="1" customFormat="1" ht="15" x14ac:dyDescent="0.25"/>
    <row r="2050" s="1" customFormat="1" ht="15" x14ac:dyDescent="0.25"/>
    <row r="2051" s="1" customFormat="1" ht="15" x14ac:dyDescent="0.25"/>
    <row r="2052" s="1" customFormat="1" ht="15" x14ac:dyDescent="0.25"/>
    <row r="2053" s="1" customFormat="1" ht="15" x14ac:dyDescent="0.25"/>
    <row r="2054" s="1" customFormat="1" ht="15" x14ac:dyDescent="0.25"/>
    <row r="2055" s="1" customFormat="1" ht="15" x14ac:dyDescent="0.25"/>
    <row r="2056" s="1" customFormat="1" ht="15" x14ac:dyDescent="0.25"/>
    <row r="2057" s="1" customFormat="1" ht="15" x14ac:dyDescent="0.25"/>
    <row r="2058" s="1" customFormat="1" ht="15" x14ac:dyDescent="0.25"/>
    <row r="2059" s="1" customFormat="1" ht="15" x14ac:dyDescent="0.25"/>
    <row r="2060" s="1" customFormat="1" ht="15" x14ac:dyDescent="0.25"/>
    <row r="2061" s="1" customFormat="1" ht="15" x14ac:dyDescent="0.25"/>
    <row r="2062" s="1" customFormat="1" ht="15" x14ac:dyDescent="0.25"/>
    <row r="2063" s="1" customFormat="1" ht="15" x14ac:dyDescent="0.25"/>
    <row r="2064" s="1" customFormat="1" ht="15" x14ac:dyDescent="0.25"/>
    <row r="2065" s="1" customFormat="1" ht="15" x14ac:dyDescent="0.25"/>
    <row r="2066" s="1" customFormat="1" ht="15" x14ac:dyDescent="0.25"/>
    <row r="2067" s="1" customFormat="1" ht="15" x14ac:dyDescent="0.25"/>
    <row r="2068" s="1" customFormat="1" ht="15" x14ac:dyDescent="0.25"/>
    <row r="2069" s="1" customFormat="1" ht="15" x14ac:dyDescent="0.25"/>
    <row r="2070" s="1" customFormat="1" ht="15" x14ac:dyDescent="0.25"/>
    <row r="2071" s="1" customFormat="1" ht="15" x14ac:dyDescent="0.25"/>
    <row r="2072" s="1" customFormat="1" ht="15" x14ac:dyDescent="0.25"/>
    <row r="2073" s="1" customFormat="1" ht="15" x14ac:dyDescent="0.25"/>
    <row r="2074" s="1" customFormat="1" ht="15" x14ac:dyDescent="0.25"/>
    <row r="2075" s="1" customFormat="1" ht="15" x14ac:dyDescent="0.25"/>
    <row r="2076" s="1" customFormat="1" ht="15" x14ac:dyDescent="0.25"/>
    <row r="2077" s="1" customFormat="1" ht="15" x14ac:dyDescent="0.25"/>
    <row r="2078" s="1" customFormat="1" ht="15" x14ac:dyDescent="0.25"/>
    <row r="2079" s="1" customFormat="1" ht="15" x14ac:dyDescent="0.25"/>
    <row r="2080" s="1" customFormat="1" ht="15" x14ac:dyDescent="0.25"/>
    <row r="2081" s="1" customFormat="1" ht="15" x14ac:dyDescent="0.25"/>
    <row r="2082" s="1" customFormat="1" ht="15" x14ac:dyDescent="0.25"/>
    <row r="2083" s="1" customFormat="1" ht="15" x14ac:dyDescent="0.25"/>
    <row r="2084" s="1" customFormat="1" ht="15" x14ac:dyDescent="0.25"/>
    <row r="2085" s="1" customFormat="1" ht="15" x14ac:dyDescent="0.25"/>
    <row r="2086" s="1" customFormat="1" ht="15" x14ac:dyDescent="0.25"/>
    <row r="2087" s="1" customFormat="1" ht="15" x14ac:dyDescent="0.25"/>
    <row r="2088" s="1" customFormat="1" ht="15" x14ac:dyDescent="0.25"/>
    <row r="2089" s="1" customFormat="1" ht="15" x14ac:dyDescent="0.25"/>
    <row r="2090" s="1" customFormat="1" ht="15" x14ac:dyDescent="0.25"/>
    <row r="2091" s="1" customFormat="1" ht="15" x14ac:dyDescent="0.25"/>
    <row r="2092" s="1" customFormat="1" ht="15" x14ac:dyDescent="0.25"/>
    <row r="2093" s="1" customFormat="1" ht="15" x14ac:dyDescent="0.25"/>
    <row r="2094" s="1" customFormat="1" ht="15" x14ac:dyDescent="0.25"/>
    <row r="2095" s="1" customFormat="1" ht="15" x14ac:dyDescent="0.25"/>
    <row r="2096" s="1" customFormat="1" ht="15" x14ac:dyDescent="0.25"/>
    <row r="2097" s="1" customFormat="1" ht="15" x14ac:dyDescent="0.25"/>
    <row r="2098" s="1" customFormat="1" ht="15" x14ac:dyDescent="0.25"/>
    <row r="2099" s="1" customFormat="1" ht="15" x14ac:dyDescent="0.25"/>
    <row r="2100" s="1" customFormat="1" ht="15" x14ac:dyDescent="0.25"/>
    <row r="2101" s="1" customFormat="1" ht="15" x14ac:dyDescent="0.25"/>
    <row r="2102" s="1" customFormat="1" ht="15" x14ac:dyDescent="0.25"/>
    <row r="2103" s="1" customFormat="1" ht="15" x14ac:dyDescent="0.25"/>
    <row r="2104" s="1" customFormat="1" ht="15" x14ac:dyDescent="0.25"/>
    <row r="2105" s="1" customFormat="1" ht="15" x14ac:dyDescent="0.25"/>
    <row r="2106" s="1" customFormat="1" ht="15" x14ac:dyDescent="0.25"/>
    <row r="2107" s="1" customFormat="1" ht="15" x14ac:dyDescent="0.25"/>
    <row r="2108" s="1" customFormat="1" ht="15" x14ac:dyDescent="0.25"/>
    <row r="2109" s="1" customFormat="1" ht="15" x14ac:dyDescent="0.25"/>
    <row r="2110" s="1" customFormat="1" ht="15" x14ac:dyDescent="0.25"/>
    <row r="2111" s="1" customFormat="1" ht="15" x14ac:dyDescent="0.25"/>
    <row r="2112" s="1" customFormat="1" ht="15" x14ac:dyDescent="0.25"/>
    <row r="2113" s="1" customFormat="1" ht="15" x14ac:dyDescent="0.25"/>
    <row r="2114" s="1" customFormat="1" ht="15" x14ac:dyDescent="0.25"/>
    <row r="2115" s="1" customFormat="1" ht="15" x14ac:dyDescent="0.25"/>
    <row r="2116" s="1" customFormat="1" ht="15" x14ac:dyDescent="0.25"/>
    <row r="2117" s="1" customFormat="1" ht="15" x14ac:dyDescent="0.25"/>
    <row r="2118" s="1" customFormat="1" ht="15" x14ac:dyDescent="0.25"/>
    <row r="2119" s="1" customFormat="1" ht="15" x14ac:dyDescent="0.25"/>
    <row r="2120" s="1" customFormat="1" ht="15" x14ac:dyDescent="0.25"/>
    <row r="2121" s="1" customFormat="1" ht="15" x14ac:dyDescent="0.25"/>
    <row r="2122" s="1" customFormat="1" ht="15" x14ac:dyDescent="0.25"/>
    <row r="2123" s="1" customFormat="1" ht="15" x14ac:dyDescent="0.25"/>
    <row r="2124" s="1" customFormat="1" ht="15" x14ac:dyDescent="0.25"/>
    <row r="2125" s="1" customFormat="1" ht="15" x14ac:dyDescent="0.25"/>
    <row r="2126" s="1" customFormat="1" ht="15" x14ac:dyDescent="0.25"/>
    <row r="2127" s="1" customFormat="1" ht="15" x14ac:dyDescent="0.25"/>
    <row r="2128" s="1" customFormat="1" ht="15" x14ac:dyDescent="0.25"/>
    <row r="2129" s="1" customFormat="1" ht="15" x14ac:dyDescent="0.25"/>
    <row r="2130" s="1" customFormat="1" ht="15" x14ac:dyDescent="0.25"/>
    <row r="2131" s="1" customFormat="1" ht="15" x14ac:dyDescent="0.25"/>
    <row r="2132" s="1" customFormat="1" ht="15" x14ac:dyDescent="0.25"/>
    <row r="2133" s="1" customFormat="1" ht="15" x14ac:dyDescent="0.25"/>
    <row r="2134" s="1" customFormat="1" ht="15" x14ac:dyDescent="0.25"/>
    <row r="2135" s="1" customFormat="1" ht="15" x14ac:dyDescent="0.25"/>
    <row r="2136" s="1" customFormat="1" ht="15" x14ac:dyDescent="0.25"/>
    <row r="2137" s="1" customFormat="1" ht="15" x14ac:dyDescent="0.25"/>
    <row r="2138" s="1" customFormat="1" ht="15" x14ac:dyDescent="0.25"/>
    <row r="2139" s="1" customFormat="1" ht="15" x14ac:dyDescent="0.25"/>
    <row r="2140" s="1" customFormat="1" ht="15" x14ac:dyDescent="0.25"/>
    <row r="2141" s="1" customFormat="1" ht="15" x14ac:dyDescent="0.25"/>
    <row r="2142" s="1" customFormat="1" ht="15" x14ac:dyDescent="0.25"/>
    <row r="2143" s="1" customFormat="1" ht="15" x14ac:dyDescent="0.25"/>
    <row r="2144" s="1" customFormat="1" ht="15" x14ac:dyDescent="0.25"/>
    <row r="2145" s="1" customFormat="1" ht="15" x14ac:dyDescent="0.25"/>
    <row r="2146" s="1" customFormat="1" ht="15" x14ac:dyDescent="0.25"/>
    <row r="2147" s="1" customFormat="1" ht="15" x14ac:dyDescent="0.25"/>
    <row r="2148" s="1" customFormat="1" ht="15" x14ac:dyDescent="0.25"/>
    <row r="2149" s="1" customFormat="1" ht="15" x14ac:dyDescent="0.25"/>
    <row r="2150" s="1" customFormat="1" ht="15" x14ac:dyDescent="0.25"/>
    <row r="2151" s="1" customFormat="1" ht="15" x14ac:dyDescent="0.25"/>
    <row r="2152" s="1" customFormat="1" ht="15" x14ac:dyDescent="0.25"/>
    <row r="2153" s="1" customFormat="1" ht="15" x14ac:dyDescent="0.25"/>
    <row r="2154" s="1" customFormat="1" ht="15" x14ac:dyDescent="0.25"/>
    <row r="2155" s="1" customFormat="1" ht="15" x14ac:dyDescent="0.25"/>
    <row r="2156" s="1" customFormat="1" ht="15" x14ac:dyDescent="0.25"/>
    <row r="2157" s="1" customFormat="1" ht="15" x14ac:dyDescent="0.25"/>
    <row r="2158" s="1" customFormat="1" ht="15" x14ac:dyDescent="0.25"/>
    <row r="2159" s="1" customFormat="1" ht="15" x14ac:dyDescent="0.25"/>
    <row r="2160" s="1" customFormat="1" ht="15" x14ac:dyDescent="0.25"/>
    <row r="2161" s="1" customFormat="1" ht="15" x14ac:dyDescent="0.25"/>
    <row r="2162" s="1" customFormat="1" ht="15" x14ac:dyDescent="0.25"/>
    <row r="2163" s="1" customFormat="1" ht="15" x14ac:dyDescent="0.25"/>
    <row r="2164" s="1" customFormat="1" ht="15" x14ac:dyDescent="0.25"/>
    <row r="2165" s="1" customFormat="1" ht="15" x14ac:dyDescent="0.25"/>
    <row r="2166" s="1" customFormat="1" ht="15" x14ac:dyDescent="0.25"/>
    <row r="2167" s="1" customFormat="1" ht="15" x14ac:dyDescent="0.25"/>
    <row r="2168" s="1" customFormat="1" ht="15" x14ac:dyDescent="0.25"/>
    <row r="2169" s="1" customFormat="1" ht="15" x14ac:dyDescent="0.25"/>
    <row r="2170" s="1" customFormat="1" ht="15" x14ac:dyDescent="0.25"/>
    <row r="2171" s="1" customFormat="1" ht="15" x14ac:dyDescent="0.25"/>
    <row r="2172" s="1" customFormat="1" ht="15" x14ac:dyDescent="0.25"/>
    <row r="2173" s="1" customFormat="1" ht="15" x14ac:dyDescent="0.25"/>
    <row r="2174" s="1" customFormat="1" ht="15" x14ac:dyDescent="0.25"/>
    <row r="2175" s="1" customFormat="1" ht="15" x14ac:dyDescent="0.25"/>
    <row r="2176" s="1" customFormat="1" ht="15" x14ac:dyDescent="0.25"/>
    <row r="2177" s="1" customFormat="1" ht="15" x14ac:dyDescent="0.25"/>
    <row r="2178" s="1" customFormat="1" ht="15" x14ac:dyDescent="0.25"/>
    <row r="2179" s="1" customFormat="1" ht="15" x14ac:dyDescent="0.25"/>
    <row r="2180" s="1" customFormat="1" ht="15" x14ac:dyDescent="0.25"/>
    <row r="2181" s="1" customFormat="1" ht="15" x14ac:dyDescent="0.25"/>
    <row r="2182" s="1" customFormat="1" ht="15" x14ac:dyDescent="0.25"/>
    <row r="2183" s="1" customFormat="1" ht="15" x14ac:dyDescent="0.25"/>
    <row r="2184" s="1" customFormat="1" ht="15" x14ac:dyDescent="0.25"/>
    <row r="2185" s="1" customFormat="1" ht="15" x14ac:dyDescent="0.25"/>
    <row r="2186" s="1" customFormat="1" ht="15" x14ac:dyDescent="0.25"/>
    <row r="2187" s="1" customFormat="1" ht="15" x14ac:dyDescent="0.25"/>
    <row r="2188" s="1" customFormat="1" ht="15" x14ac:dyDescent="0.25"/>
    <row r="2189" s="1" customFormat="1" ht="15" x14ac:dyDescent="0.25"/>
    <row r="2190" s="1" customFormat="1" ht="15" x14ac:dyDescent="0.25"/>
    <row r="2191" s="1" customFormat="1" ht="15" x14ac:dyDescent="0.25"/>
    <row r="2192" s="1" customFormat="1" ht="15" x14ac:dyDescent="0.25"/>
    <row r="2193" s="1" customFormat="1" ht="15" x14ac:dyDescent="0.25"/>
    <row r="2194" s="1" customFormat="1" ht="15" x14ac:dyDescent="0.25"/>
    <row r="2195" s="1" customFormat="1" ht="15" x14ac:dyDescent="0.25"/>
    <row r="2196" s="1" customFormat="1" ht="15" x14ac:dyDescent="0.25"/>
    <row r="2197" s="1" customFormat="1" ht="15" x14ac:dyDescent="0.25"/>
    <row r="2198" s="1" customFormat="1" ht="15" x14ac:dyDescent="0.25"/>
    <row r="2199" s="1" customFormat="1" ht="15" x14ac:dyDescent="0.25"/>
    <row r="2200" s="1" customFormat="1" ht="15" x14ac:dyDescent="0.25"/>
    <row r="2201" s="1" customFormat="1" ht="15" x14ac:dyDescent="0.25"/>
    <row r="2202" s="1" customFormat="1" ht="15" x14ac:dyDescent="0.25"/>
    <row r="2203" s="1" customFormat="1" ht="15" x14ac:dyDescent="0.25"/>
    <row r="2204" s="1" customFormat="1" ht="15" x14ac:dyDescent="0.25"/>
    <row r="2205" s="1" customFormat="1" ht="15" x14ac:dyDescent="0.25"/>
    <row r="2206" s="1" customFormat="1" ht="15" x14ac:dyDescent="0.25"/>
    <row r="2207" s="1" customFormat="1" ht="15" x14ac:dyDescent="0.25"/>
    <row r="2208" s="1" customFormat="1" ht="15" x14ac:dyDescent="0.25"/>
    <row r="2209" s="1" customFormat="1" ht="15" x14ac:dyDescent="0.25"/>
    <row r="2210" s="1" customFormat="1" ht="15" x14ac:dyDescent="0.25"/>
    <row r="2211" s="1" customFormat="1" ht="15" x14ac:dyDescent="0.25"/>
    <row r="2212" s="1" customFormat="1" ht="15" x14ac:dyDescent="0.25"/>
    <row r="2213" s="1" customFormat="1" ht="15" x14ac:dyDescent="0.25"/>
    <row r="2214" s="1" customFormat="1" ht="15" x14ac:dyDescent="0.25"/>
    <row r="2215" s="1" customFormat="1" ht="15" x14ac:dyDescent="0.25"/>
    <row r="2216" s="1" customFormat="1" ht="15" x14ac:dyDescent="0.25"/>
    <row r="2217" s="1" customFormat="1" ht="15" x14ac:dyDescent="0.25"/>
    <row r="2218" s="1" customFormat="1" ht="15" x14ac:dyDescent="0.25"/>
    <row r="2219" s="1" customFormat="1" ht="15" x14ac:dyDescent="0.25"/>
    <row r="2220" s="1" customFormat="1" ht="15" x14ac:dyDescent="0.25"/>
    <row r="2221" s="1" customFormat="1" ht="15" x14ac:dyDescent="0.25"/>
    <row r="2222" s="1" customFormat="1" ht="15" x14ac:dyDescent="0.25"/>
    <row r="2223" s="1" customFormat="1" ht="15" x14ac:dyDescent="0.25"/>
    <row r="2224" s="1" customFormat="1" ht="15" x14ac:dyDescent="0.25"/>
    <row r="2225" s="1" customFormat="1" ht="15" x14ac:dyDescent="0.25"/>
    <row r="2226" s="1" customFormat="1" ht="15" x14ac:dyDescent="0.25"/>
    <row r="2227" s="1" customFormat="1" ht="15" x14ac:dyDescent="0.25"/>
    <row r="2228" s="1" customFormat="1" ht="15" x14ac:dyDescent="0.25"/>
    <row r="2229" s="1" customFormat="1" ht="15" x14ac:dyDescent="0.25"/>
    <row r="2230" s="1" customFormat="1" ht="15" x14ac:dyDescent="0.25"/>
    <row r="2231" s="1" customFormat="1" ht="15" x14ac:dyDescent="0.25"/>
    <row r="2232" s="1" customFormat="1" ht="15" x14ac:dyDescent="0.25"/>
    <row r="2233" s="1" customFormat="1" ht="15" x14ac:dyDescent="0.25"/>
    <row r="2234" s="1" customFormat="1" ht="15" x14ac:dyDescent="0.25"/>
    <row r="2235" s="1" customFormat="1" ht="15" x14ac:dyDescent="0.25"/>
    <row r="2236" s="1" customFormat="1" ht="15" x14ac:dyDescent="0.25"/>
    <row r="2237" s="1" customFormat="1" ht="15" x14ac:dyDescent="0.25"/>
    <row r="2238" s="1" customFormat="1" ht="15" x14ac:dyDescent="0.25"/>
    <row r="2239" s="1" customFormat="1" ht="15" x14ac:dyDescent="0.25"/>
    <row r="2240" s="1" customFormat="1" ht="15" x14ac:dyDescent="0.25"/>
    <row r="2241" s="1" customFormat="1" ht="15" x14ac:dyDescent="0.25"/>
    <row r="2242" s="1" customFormat="1" ht="15" x14ac:dyDescent="0.25"/>
    <row r="2243" s="1" customFormat="1" ht="15" x14ac:dyDescent="0.25"/>
    <row r="2244" s="1" customFormat="1" ht="15" x14ac:dyDescent="0.25"/>
    <row r="2245" s="1" customFormat="1" ht="15" x14ac:dyDescent="0.25"/>
    <row r="2246" s="1" customFormat="1" ht="15" x14ac:dyDescent="0.25"/>
    <row r="2247" s="1" customFormat="1" ht="15" x14ac:dyDescent="0.25"/>
    <row r="2248" s="1" customFormat="1" ht="15" x14ac:dyDescent="0.25"/>
    <row r="2249" s="1" customFormat="1" ht="15" x14ac:dyDescent="0.25"/>
    <row r="2250" s="1" customFormat="1" ht="15" x14ac:dyDescent="0.25"/>
    <row r="2251" s="1" customFormat="1" ht="15" x14ac:dyDescent="0.25"/>
    <row r="2252" s="1" customFormat="1" ht="15" x14ac:dyDescent="0.25"/>
    <row r="2253" s="1" customFormat="1" ht="15" x14ac:dyDescent="0.25"/>
    <row r="2254" s="1" customFormat="1" ht="15" x14ac:dyDescent="0.25"/>
    <row r="2255" s="1" customFormat="1" ht="15" x14ac:dyDescent="0.25"/>
    <row r="2256" s="1" customFormat="1" ht="15" x14ac:dyDescent="0.25"/>
    <row r="2257" s="1" customFormat="1" ht="15" x14ac:dyDescent="0.25"/>
    <row r="2258" s="1" customFormat="1" ht="15" x14ac:dyDescent="0.25"/>
    <row r="2259" s="1" customFormat="1" ht="15" x14ac:dyDescent="0.25"/>
    <row r="2260" s="1" customFormat="1" ht="15" x14ac:dyDescent="0.25"/>
    <row r="2261" s="1" customFormat="1" ht="15" x14ac:dyDescent="0.25"/>
    <row r="2262" s="1" customFormat="1" ht="15" x14ac:dyDescent="0.25"/>
    <row r="2263" s="1" customFormat="1" ht="15" x14ac:dyDescent="0.25"/>
    <row r="2264" s="1" customFormat="1" ht="15" x14ac:dyDescent="0.25"/>
    <row r="2265" s="1" customFormat="1" ht="15" x14ac:dyDescent="0.25"/>
    <row r="2266" s="1" customFormat="1" ht="15" x14ac:dyDescent="0.25"/>
    <row r="2267" s="1" customFormat="1" ht="15" x14ac:dyDescent="0.25"/>
    <row r="2268" s="1" customFormat="1" ht="15" x14ac:dyDescent="0.25"/>
    <row r="2269" s="1" customFormat="1" ht="15" x14ac:dyDescent="0.25"/>
    <row r="2270" s="1" customFormat="1" ht="15" x14ac:dyDescent="0.25"/>
    <row r="2271" s="1" customFormat="1" ht="15" x14ac:dyDescent="0.25"/>
    <row r="2272" s="1" customFormat="1" ht="15" x14ac:dyDescent="0.25"/>
    <row r="2273" s="1" customFormat="1" ht="15" x14ac:dyDescent="0.25"/>
    <row r="2274" s="1" customFormat="1" ht="15" x14ac:dyDescent="0.25"/>
    <row r="2275" s="1" customFormat="1" ht="15" x14ac:dyDescent="0.25"/>
    <row r="2276" s="1" customFormat="1" ht="15" x14ac:dyDescent="0.25"/>
    <row r="2277" s="1" customFormat="1" ht="15" x14ac:dyDescent="0.25"/>
    <row r="2278" s="1" customFormat="1" ht="15" x14ac:dyDescent="0.25"/>
    <row r="2279" s="1" customFormat="1" ht="15" x14ac:dyDescent="0.25"/>
    <row r="2280" s="1" customFormat="1" ht="15" x14ac:dyDescent="0.25"/>
    <row r="2281" s="1" customFormat="1" ht="15" x14ac:dyDescent="0.25"/>
    <row r="2282" s="1" customFormat="1" ht="15" x14ac:dyDescent="0.25"/>
    <row r="2283" s="1" customFormat="1" ht="15" x14ac:dyDescent="0.25"/>
    <row r="2284" s="1" customFormat="1" ht="15" x14ac:dyDescent="0.25"/>
    <row r="2285" s="1" customFormat="1" ht="15" x14ac:dyDescent="0.25"/>
    <row r="2286" s="1" customFormat="1" ht="15" x14ac:dyDescent="0.25"/>
    <row r="2287" s="1" customFormat="1" ht="15" x14ac:dyDescent="0.25"/>
    <row r="2288" s="1" customFormat="1" ht="15" x14ac:dyDescent="0.25"/>
    <row r="2289" s="1" customFormat="1" ht="15" x14ac:dyDescent="0.25"/>
    <row r="2290" s="1" customFormat="1" ht="15" x14ac:dyDescent="0.25"/>
    <row r="2291" s="1" customFormat="1" ht="15" x14ac:dyDescent="0.25"/>
    <row r="2292" s="1" customFormat="1" ht="15" x14ac:dyDescent="0.25"/>
    <row r="2293" s="1" customFormat="1" ht="15" x14ac:dyDescent="0.25"/>
    <row r="2294" s="1" customFormat="1" ht="15" x14ac:dyDescent="0.25"/>
    <row r="2295" s="1" customFormat="1" ht="15" x14ac:dyDescent="0.25"/>
    <row r="2296" s="1" customFormat="1" ht="15" x14ac:dyDescent="0.25"/>
    <row r="2297" s="1" customFormat="1" ht="15" x14ac:dyDescent="0.25"/>
    <row r="2298" s="1" customFormat="1" ht="15" x14ac:dyDescent="0.25"/>
    <row r="2299" s="1" customFormat="1" ht="15" x14ac:dyDescent="0.25"/>
    <row r="2300" s="1" customFormat="1" ht="15" x14ac:dyDescent="0.25"/>
    <row r="2301" s="1" customFormat="1" ht="15" x14ac:dyDescent="0.25"/>
    <row r="2302" s="1" customFormat="1" ht="15" x14ac:dyDescent="0.25"/>
    <row r="2303" s="1" customFormat="1" ht="15" x14ac:dyDescent="0.25"/>
    <row r="2304" s="1" customFormat="1" ht="15" x14ac:dyDescent="0.25"/>
    <row r="2305" s="1" customFormat="1" ht="15" x14ac:dyDescent="0.25"/>
    <row r="2306" s="1" customFormat="1" ht="15" x14ac:dyDescent="0.25"/>
    <row r="2307" s="1" customFormat="1" ht="15" x14ac:dyDescent="0.25"/>
    <row r="2308" s="1" customFormat="1" ht="15" x14ac:dyDescent="0.25"/>
    <row r="2309" s="1" customFormat="1" ht="15" x14ac:dyDescent="0.25"/>
    <row r="2310" s="1" customFormat="1" ht="15" x14ac:dyDescent="0.25"/>
    <row r="2311" s="1" customFormat="1" ht="15" x14ac:dyDescent="0.25"/>
    <row r="2312" s="1" customFormat="1" ht="15" x14ac:dyDescent="0.25"/>
    <row r="2313" s="1" customFormat="1" ht="15" x14ac:dyDescent="0.25"/>
    <row r="2314" s="1" customFormat="1" ht="15" x14ac:dyDescent="0.25"/>
    <row r="2315" s="1" customFormat="1" ht="15" x14ac:dyDescent="0.25"/>
    <row r="2316" s="1" customFormat="1" ht="15" x14ac:dyDescent="0.25"/>
    <row r="2317" s="1" customFormat="1" ht="15" x14ac:dyDescent="0.25"/>
    <row r="2318" s="1" customFormat="1" ht="15" x14ac:dyDescent="0.25"/>
    <row r="2319" s="1" customFormat="1" ht="15" x14ac:dyDescent="0.25"/>
    <row r="2320" s="1" customFormat="1" ht="15" x14ac:dyDescent="0.25"/>
    <row r="2321" s="1" customFormat="1" ht="15" x14ac:dyDescent="0.25"/>
    <row r="2322" s="1" customFormat="1" ht="15" x14ac:dyDescent="0.25"/>
    <row r="2323" s="1" customFormat="1" ht="15" x14ac:dyDescent="0.25"/>
    <row r="2324" s="1" customFormat="1" ht="15" x14ac:dyDescent="0.25"/>
    <row r="2325" s="1" customFormat="1" ht="15" x14ac:dyDescent="0.25"/>
    <row r="2326" s="1" customFormat="1" ht="15" x14ac:dyDescent="0.25"/>
    <row r="2327" s="1" customFormat="1" ht="15" x14ac:dyDescent="0.25"/>
    <row r="2328" s="1" customFormat="1" ht="15" x14ac:dyDescent="0.25"/>
    <row r="2329" s="1" customFormat="1" ht="15" x14ac:dyDescent="0.25"/>
    <row r="2330" s="1" customFormat="1" ht="15" x14ac:dyDescent="0.25"/>
    <row r="2331" s="1" customFormat="1" ht="15" x14ac:dyDescent="0.25"/>
    <row r="2332" s="1" customFormat="1" ht="15" x14ac:dyDescent="0.25"/>
    <row r="2333" s="1" customFormat="1" ht="15" x14ac:dyDescent="0.25"/>
    <row r="2334" s="1" customFormat="1" ht="15" x14ac:dyDescent="0.25"/>
    <row r="2335" s="1" customFormat="1" ht="15" x14ac:dyDescent="0.25"/>
    <row r="2336" s="1" customFormat="1" ht="15" x14ac:dyDescent="0.25"/>
    <row r="2337" s="1" customFormat="1" ht="15" x14ac:dyDescent="0.25"/>
    <row r="2338" s="1" customFormat="1" ht="15" x14ac:dyDescent="0.25"/>
    <row r="2339" s="1" customFormat="1" ht="15" x14ac:dyDescent="0.25"/>
    <row r="2340" s="1" customFormat="1" ht="15" x14ac:dyDescent="0.25"/>
    <row r="2341" s="1" customFormat="1" ht="15" x14ac:dyDescent="0.25"/>
    <row r="2342" s="1" customFormat="1" ht="15" x14ac:dyDescent="0.25"/>
    <row r="2343" s="1" customFormat="1" ht="15" x14ac:dyDescent="0.25"/>
    <row r="2344" s="1" customFormat="1" ht="15" x14ac:dyDescent="0.25"/>
    <row r="2345" s="1" customFormat="1" ht="15" x14ac:dyDescent="0.25"/>
    <row r="2346" s="1" customFormat="1" ht="15" x14ac:dyDescent="0.25"/>
    <row r="2347" s="1" customFormat="1" ht="15" x14ac:dyDescent="0.25"/>
    <row r="2348" s="1" customFormat="1" ht="15" x14ac:dyDescent="0.25"/>
    <row r="2349" s="1" customFormat="1" ht="15" x14ac:dyDescent="0.25"/>
    <row r="2350" s="1" customFormat="1" ht="15" x14ac:dyDescent="0.25"/>
    <row r="2351" s="1" customFormat="1" ht="15" x14ac:dyDescent="0.25"/>
    <row r="2352" s="1" customFormat="1" ht="15" x14ac:dyDescent="0.25"/>
    <row r="2353" s="1" customFormat="1" ht="15" x14ac:dyDescent="0.25"/>
    <row r="2354" s="1" customFormat="1" ht="15" x14ac:dyDescent="0.25"/>
    <row r="2355" s="1" customFormat="1" ht="15" x14ac:dyDescent="0.25"/>
    <row r="2356" s="1" customFormat="1" ht="15" x14ac:dyDescent="0.25"/>
    <row r="2357" s="1" customFormat="1" ht="15" x14ac:dyDescent="0.25"/>
    <row r="2358" s="1" customFormat="1" ht="15" x14ac:dyDescent="0.25"/>
    <row r="2359" s="1" customFormat="1" ht="15" x14ac:dyDescent="0.25"/>
    <row r="2360" s="1" customFormat="1" ht="15" x14ac:dyDescent="0.25"/>
    <row r="2361" s="1" customFormat="1" ht="15" x14ac:dyDescent="0.25"/>
    <row r="2362" s="1" customFormat="1" ht="15" x14ac:dyDescent="0.25"/>
    <row r="2363" s="1" customFormat="1" ht="15" x14ac:dyDescent="0.25"/>
    <row r="2364" s="1" customFormat="1" ht="15" x14ac:dyDescent="0.25"/>
    <row r="2365" s="1" customFormat="1" ht="15" x14ac:dyDescent="0.25"/>
    <row r="2366" s="1" customFormat="1" ht="15" x14ac:dyDescent="0.25"/>
    <row r="2367" s="1" customFormat="1" ht="15" x14ac:dyDescent="0.25"/>
    <row r="2368" s="1" customFormat="1" ht="15" x14ac:dyDescent="0.25"/>
    <row r="2369" s="1" customFormat="1" ht="15" x14ac:dyDescent="0.25"/>
    <row r="2370" s="1" customFormat="1" ht="15" x14ac:dyDescent="0.25"/>
    <row r="2371" s="1" customFormat="1" ht="15" x14ac:dyDescent="0.25"/>
    <row r="2372" s="1" customFormat="1" ht="15" x14ac:dyDescent="0.25"/>
    <row r="2373" s="1" customFormat="1" ht="15" x14ac:dyDescent="0.25"/>
    <row r="2374" s="1" customFormat="1" ht="15" x14ac:dyDescent="0.25"/>
    <row r="2375" s="1" customFormat="1" ht="15" x14ac:dyDescent="0.25"/>
    <row r="2376" s="1" customFormat="1" ht="15" x14ac:dyDescent="0.25"/>
    <row r="2377" s="1" customFormat="1" ht="15" x14ac:dyDescent="0.25"/>
    <row r="2378" s="1" customFormat="1" ht="15" x14ac:dyDescent="0.25"/>
    <row r="2379" s="1" customFormat="1" ht="15" x14ac:dyDescent="0.25"/>
    <row r="2380" s="1" customFormat="1" ht="15" x14ac:dyDescent="0.25"/>
    <row r="2381" s="1" customFormat="1" ht="15" x14ac:dyDescent="0.25"/>
    <row r="2382" s="1" customFormat="1" ht="15" x14ac:dyDescent="0.25"/>
    <row r="2383" s="1" customFormat="1" ht="15" x14ac:dyDescent="0.25"/>
    <row r="2384" s="1" customFormat="1" ht="15" x14ac:dyDescent="0.25"/>
    <row r="2385" s="1" customFormat="1" ht="15" x14ac:dyDescent="0.25"/>
    <row r="2386" s="1" customFormat="1" ht="15" x14ac:dyDescent="0.25"/>
    <row r="2387" s="1" customFormat="1" ht="15" x14ac:dyDescent="0.25"/>
    <row r="2388" s="1" customFormat="1" ht="15" x14ac:dyDescent="0.25"/>
    <row r="2389" s="1" customFormat="1" ht="15" x14ac:dyDescent="0.25"/>
    <row r="2390" s="1" customFormat="1" ht="15" x14ac:dyDescent="0.25"/>
    <row r="2391" s="1" customFormat="1" ht="15" x14ac:dyDescent="0.25"/>
    <row r="2392" s="1" customFormat="1" ht="15" x14ac:dyDescent="0.25"/>
    <row r="2393" s="1" customFormat="1" ht="15" x14ac:dyDescent="0.25"/>
    <row r="2394" s="1" customFormat="1" ht="15" x14ac:dyDescent="0.25"/>
    <row r="2395" s="1" customFormat="1" ht="15" x14ac:dyDescent="0.25"/>
    <row r="2396" s="1" customFormat="1" ht="15" x14ac:dyDescent="0.25"/>
    <row r="2397" s="1" customFormat="1" ht="15" x14ac:dyDescent="0.25"/>
    <row r="2398" s="1" customFormat="1" ht="15" x14ac:dyDescent="0.25"/>
    <row r="2399" s="1" customFormat="1" ht="15" x14ac:dyDescent="0.25"/>
    <row r="2400" s="1" customFormat="1" ht="15" x14ac:dyDescent="0.25"/>
    <row r="2401" s="1" customFormat="1" ht="15" x14ac:dyDescent="0.25"/>
    <row r="2402" s="1" customFormat="1" ht="15" x14ac:dyDescent="0.25"/>
    <row r="2403" s="1" customFormat="1" ht="15" x14ac:dyDescent="0.25"/>
    <row r="2404" s="1" customFormat="1" ht="15" x14ac:dyDescent="0.25"/>
    <row r="2405" s="1" customFormat="1" ht="15" x14ac:dyDescent="0.25"/>
    <row r="2406" s="1" customFormat="1" ht="15" x14ac:dyDescent="0.25"/>
    <row r="2407" s="1" customFormat="1" ht="15" x14ac:dyDescent="0.25"/>
    <row r="2408" s="1" customFormat="1" ht="15" x14ac:dyDescent="0.25"/>
    <row r="2409" s="1" customFormat="1" ht="15" x14ac:dyDescent="0.25"/>
    <row r="2410" s="1" customFormat="1" ht="15" x14ac:dyDescent="0.25"/>
    <row r="2411" s="1" customFormat="1" ht="15" x14ac:dyDescent="0.25"/>
    <row r="2412" s="1" customFormat="1" ht="15" x14ac:dyDescent="0.25"/>
    <row r="2413" s="1" customFormat="1" ht="15" x14ac:dyDescent="0.25"/>
    <row r="2414" s="1" customFormat="1" ht="15" x14ac:dyDescent="0.25"/>
    <row r="2415" s="1" customFormat="1" ht="15" x14ac:dyDescent="0.25"/>
    <row r="2416" s="1" customFormat="1" ht="15" x14ac:dyDescent="0.25"/>
    <row r="2417" s="1" customFormat="1" ht="15" x14ac:dyDescent="0.25"/>
    <row r="2418" s="1" customFormat="1" ht="15" x14ac:dyDescent="0.25"/>
    <row r="2419" s="1" customFormat="1" ht="15" x14ac:dyDescent="0.25"/>
    <row r="2420" s="1" customFormat="1" ht="15" x14ac:dyDescent="0.25"/>
    <row r="2421" s="1" customFormat="1" ht="15" x14ac:dyDescent="0.25"/>
    <row r="2422" s="1" customFormat="1" ht="15" x14ac:dyDescent="0.25"/>
    <row r="2423" s="1" customFormat="1" ht="15" x14ac:dyDescent="0.25"/>
    <row r="2424" s="1" customFormat="1" ht="15" x14ac:dyDescent="0.25"/>
    <row r="2425" s="1" customFormat="1" ht="15" x14ac:dyDescent="0.25"/>
    <row r="2426" s="1" customFormat="1" ht="15" x14ac:dyDescent="0.25"/>
    <row r="2427" s="1" customFormat="1" ht="15" x14ac:dyDescent="0.25"/>
    <row r="2428" s="1" customFormat="1" ht="15" x14ac:dyDescent="0.25"/>
    <row r="2429" s="1" customFormat="1" ht="15" x14ac:dyDescent="0.25"/>
    <row r="2430" s="1" customFormat="1" ht="15" x14ac:dyDescent="0.25"/>
    <row r="2431" s="1" customFormat="1" ht="15" x14ac:dyDescent="0.25"/>
    <row r="2432" s="1" customFormat="1" ht="15" x14ac:dyDescent="0.25"/>
    <row r="2433" s="1" customFormat="1" ht="15" x14ac:dyDescent="0.25"/>
    <row r="2434" s="1" customFormat="1" ht="15" x14ac:dyDescent="0.25"/>
    <row r="2435" s="1" customFormat="1" ht="15" x14ac:dyDescent="0.25"/>
    <row r="2436" s="1" customFormat="1" ht="15" x14ac:dyDescent="0.25"/>
    <row r="2437" s="1" customFormat="1" ht="15" x14ac:dyDescent="0.25"/>
    <row r="2438" s="1" customFormat="1" ht="15" x14ac:dyDescent="0.25"/>
    <row r="2439" s="1" customFormat="1" ht="15" x14ac:dyDescent="0.25"/>
    <row r="2440" s="1" customFormat="1" ht="15" x14ac:dyDescent="0.25"/>
    <row r="2441" s="1" customFormat="1" ht="15" x14ac:dyDescent="0.25"/>
    <row r="2442" s="1" customFormat="1" ht="15" x14ac:dyDescent="0.25"/>
    <row r="2443" s="1" customFormat="1" ht="15" x14ac:dyDescent="0.25"/>
    <row r="2444" s="1" customFormat="1" ht="15" x14ac:dyDescent="0.25"/>
    <row r="2445" s="1" customFormat="1" ht="15" x14ac:dyDescent="0.25"/>
    <row r="2446" s="1" customFormat="1" ht="15" x14ac:dyDescent="0.25"/>
    <row r="2447" s="1" customFormat="1" ht="15" x14ac:dyDescent="0.25"/>
    <row r="2448" s="1" customFormat="1" ht="15" x14ac:dyDescent="0.25"/>
    <row r="2449" s="1" customFormat="1" ht="15" x14ac:dyDescent="0.25"/>
    <row r="2450" s="1" customFormat="1" ht="15" x14ac:dyDescent="0.25"/>
    <row r="2451" s="1" customFormat="1" ht="15" x14ac:dyDescent="0.25"/>
    <row r="2452" s="1" customFormat="1" ht="15" x14ac:dyDescent="0.25"/>
    <row r="2453" s="1" customFormat="1" ht="15" x14ac:dyDescent="0.25"/>
    <row r="2454" s="1" customFormat="1" ht="15" x14ac:dyDescent="0.25"/>
    <row r="2455" s="1" customFormat="1" ht="15" x14ac:dyDescent="0.25"/>
    <row r="2456" s="1" customFormat="1" ht="15" x14ac:dyDescent="0.25"/>
    <row r="2457" s="1" customFormat="1" ht="15" x14ac:dyDescent="0.25"/>
    <row r="2458" s="1" customFormat="1" ht="15" x14ac:dyDescent="0.25"/>
    <row r="2459" s="1" customFormat="1" ht="15" x14ac:dyDescent="0.25"/>
    <row r="2460" s="1" customFormat="1" ht="15" x14ac:dyDescent="0.25"/>
    <row r="2461" s="1" customFormat="1" ht="15" x14ac:dyDescent="0.25"/>
    <row r="2462" s="1" customFormat="1" ht="15" x14ac:dyDescent="0.25"/>
    <row r="2463" s="1" customFormat="1" ht="15" x14ac:dyDescent="0.25"/>
    <row r="2464" s="1" customFormat="1" ht="15" x14ac:dyDescent="0.25"/>
    <row r="2465" s="1" customFormat="1" ht="15" x14ac:dyDescent="0.25"/>
    <row r="2466" s="1" customFormat="1" ht="15" x14ac:dyDescent="0.25"/>
    <row r="2467" s="1" customFormat="1" ht="15" x14ac:dyDescent="0.25"/>
    <row r="2468" s="1" customFormat="1" ht="15" x14ac:dyDescent="0.25"/>
    <row r="2469" s="1" customFormat="1" ht="15" x14ac:dyDescent="0.25"/>
    <row r="2470" s="1" customFormat="1" ht="15" x14ac:dyDescent="0.25"/>
    <row r="2471" s="1" customFormat="1" ht="15" x14ac:dyDescent="0.25"/>
    <row r="2472" s="1" customFormat="1" ht="15" x14ac:dyDescent="0.25"/>
    <row r="2473" s="1" customFormat="1" ht="15" x14ac:dyDescent="0.25"/>
    <row r="2474" s="1" customFormat="1" ht="15" x14ac:dyDescent="0.25"/>
    <row r="2475" s="1" customFormat="1" ht="15" x14ac:dyDescent="0.25"/>
    <row r="2476" s="1" customFormat="1" ht="15" x14ac:dyDescent="0.25"/>
    <row r="2477" s="1" customFormat="1" ht="15" x14ac:dyDescent="0.25"/>
    <row r="2478" s="1" customFormat="1" ht="15" x14ac:dyDescent="0.25"/>
    <row r="2479" s="1" customFormat="1" ht="15" x14ac:dyDescent="0.25"/>
    <row r="2480" s="1" customFormat="1" ht="15" x14ac:dyDescent="0.25"/>
    <row r="2481" s="1" customFormat="1" ht="15" x14ac:dyDescent="0.25"/>
    <row r="2482" s="1" customFormat="1" ht="15" x14ac:dyDescent="0.25"/>
    <row r="2483" s="1" customFormat="1" ht="15" x14ac:dyDescent="0.25"/>
    <row r="2484" s="1" customFormat="1" ht="15" x14ac:dyDescent="0.25"/>
    <row r="2485" s="1" customFormat="1" ht="15" x14ac:dyDescent="0.25"/>
    <row r="2486" s="1" customFormat="1" ht="15" x14ac:dyDescent="0.25"/>
    <row r="2487" s="1" customFormat="1" ht="15" x14ac:dyDescent="0.25"/>
    <row r="2488" s="1" customFormat="1" ht="15" x14ac:dyDescent="0.25"/>
    <row r="2489" s="1" customFormat="1" ht="15" x14ac:dyDescent="0.25"/>
    <row r="2490" s="1" customFormat="1" ht="15" x14ac:dyDescent="0.25"/>
    <row r="2491" s="1" customFormat="1" ht="15" x14ac:dyDescent="0.25"/>
    <row r="2492" s="1" customFormat="1" ht="15" x14ac:dyDescent="0.25"/>
    <row r="2493" s="1" customFormat="1" ht="15" x14ac:dyDescent="0.25"/>
    <row r="2494" s="1" customFormat="1" ht="15" x14ac:dyDescent="0.25"/>
    <row r="2495" s="1" customFormat="1" ht="15" x14ac:dyDescent="0.25"/>
    <row r="2496" s="1" customFormat="1" ht="15" x14ac:dyDescent="0.25"/>
    <row r="2497" s="1" customFormat="1" ht="15" x14ac:dyDescent="0.25"/>
    <row r="2498" s="1" customFormat="1" ht="15" x14ac:dyDescent="0.25"/>
    <row r="2499" s="1" customFormat="1" ht="15" x14ac:dyDescent="0.25"/>
    <row r="2500" s="1" customFormat="1" ht="15" x14ac:dyDescent="0.25"/>
    <row r="2501" s="1" customFormat="1" ht="15" x14ac:dyDescent="0.25"/>
    <row r="2502" s="1" customFormat="1" ht="15" x14ac:dyDescent="0.25"/>
    <row r="2503" s="1" customFormat="1" ht="15" x14ac:dyDescent="0.25"/>
    <row r="2504" s="1" customFormat="1" ht="15" x14ac:dyDescent="0.25"/>
    <row r="2505" s="1" customFormat="1" ht="15" x14ac:dyDescent="0.25"/>
    <row r="2506" s="1" customFormat="1" ht="15" x14ac:dyDescent="0.25"/>
    <row r="2507" s="1" customFormat="1" ht="15" x14ac:dyDescent="0.25"/>
    <row r="2508" s="1" customFormat="1" ht="15" x14ac:dyDescent="0.25"/>
    <row r="2509" s="1" customFormat="1" ht="15" x14ac:dyDescent="0.25"/>
    <row r="2510" s="1" customFormat="1" ht="15" x14ac:dyDescent="0.25"/>
    <row r="2511" s="1" customFormat="1" ht="15" x14ac:dyDescent="0.25"/>
    <row r="2512" s="1" customFormat="1" ht="15" x14ac:dyDescent="0.25"/>
    <row r="2513" s="1" customFormat="1" ht="15" x14ac:dyDescent="0.25"/>
    <row r="2514" s="1" customFormat="1" ht="15" x14ac:dyDescent="0.25"/>
    <row r="2515" s="1" customFormat="1" ht="15" x14ac:dyDescent="0.25"/>
    <row r="2516" s="1" customFormat="1" ht="15" x14ac:dyDescent="0.25"/>
    <row r="2517" s="1" customFormat="1" ht="15" x14ac:dyDescent="0.25"/>
    <row r="2518" s="1" customFormat="1" ht="15" x14ac:dyDescent="0.25"/>
    <row r="2519" s="1" customFormat="1" ht="15" x14ac:dyDescent="0.25"/>
    <row r="2520" s="1" customFormat="1" ht="15" x14ac:dyDescent="0.25"/>
    <row r="2521" s="1" customFormat="1" ht="15" x14ac:dyDescent="0.25"/>
    <row r="2522" s="1" customFormat="1" ht="15" x14ac:dyDescent="0.25"/>
    <row r="2523" s="1" customFormat="1" ht="15" x14ac:dyDescent="0.25"/>
    <row r="2524" s="1" customFormat="1" ht="15" x14ac:dyDescent="0.25"/>
    <row r="2525" s="1" customFormat="1" ht="15" x14ac:dyDescent="0.25"/>
    <row r="2526" s="1" customFormat="1" ht="15" x14ac:dyDescent="0.25"/>
    <row r="2527" s="1" customFormat="1" ht="15" x14ac:dyDescent="0.25"/>
    <row r="2528" s="1" customFormat="1" ht="15" x14ac:dyDescent="0.25"/>
    <row r="2529" s="1" customFormat="1" ht="15" x14ac:dyDescent="0.25"/>
    <row r="2530" s="1" customFormat="1" ht="15" x14ac:dyDescent="0.25"/>
    <row r="2531" s="1" customFormat="1" ht="15" x14ac:dyDescent="0.25"/>
    <row r="2532" s="1" customFormat="1" ht="15" x14ac:dyDescent="0.25"/>
    <row r="2533" s="1" customFormat="1" ht="15" x14ac:dyDescent="0.25"/>
    <row r="2534" s="1" customFormat="1" ht="15" x14ac:dyDescent="0.25"/>
    <row r="2535" s="1" customFormat="1" ht="15" x14ac:dyDescent="0.25"/>
    <row r="2536" s="1" customFormat="1" ht="15" x14ac:dyDescent="0.25"/>
    <row r="2537" s="1" customFormat="1" ht="15" x14ac:dyDescent="0.25"/>
    <row r="2538" s="1" customFormat="1" ht="15" x14ac:dyDescent="0.25"/>
    <row r="2539" s="1" customFormat="1" ht="15" x14ac:dyDescent="0.25"/>
    <row r="2540" s="1" customFormat="1" ht="15" x14ac:dyDescent="0.25"/>
    <row r="2541" s="1" customFormat="1" ht="15" x14ac:dyDescent="0.25"/>
    <row r="2542" s="1" customFormat="1" ht="15" x14ac:dyDescent="0.25"/>
    <row r="2543" s="1" customFormat="1" ht="15" x14ac:dyDescent="0.25"/>
    <row r="2544" s="1" customFormat="1" ht="15" x14ac:dyDescent="0.25"/>
    <row r="2545" s="1" customFormat="1" ht="15" x14ac:dyDescent="0.25"/>
    <row r="2546" s="1" customFormat="1" ht="15" x14ac:dyDescent="0.25"/>
    <row r="2547" s="1" customFormat="1" ht="15" x14ac:dyDescent="0.25"/>
    <row r="2548" s="1" customFormat="1" ht="15" x14ac:dyDescent="0.25"/>
    <row r="2549" s="1" customFormat="1" ht="15" x14ac:dyDescent="0.25"/>
    <row r="2550" s="1" customFormat="1" ht="15" x14ac:dyDescent="0.25"/>
    <row r="2551" s="1" customFormat="1" ht="15" x14ac:dyDescent="0.25"/>
    <row r="2552" s="1" customFormat="1" ht="15" x14ac:dyDescent="0.25"/>
    <row r="2553" s="1" customFormat="1" ht="15" x14ac:dyDescent="0.25"/>
    <row r="2554" s="1" customFormat="1" ht="15" x14ac:dyDescent="0.25"/>
    <row r="2555" s="1" customFormat="1" ht="15" x14ac:dyDescent="0.25"/>
    <row r="2556" s="1" customFormat="1" ht="15" x14ac:dyDescent="0.25"/>
    <row r="2557" s="1" customFormat="1" ht="15" x14ac:dyDescent="0.25"/>
    <row r="2558" s="1" customFormat="1" ht="15" x14ac:dyDescent="0.25"/>
    <row r="2559" s="1" customFormat="1" ht="15" x14ac:dyDescent="0.25"/>
    <row r="2560" s="1" customFormat="1" ht="15" x14ac:dyDescent="0.25"/>
    <row r="2561" s="1" customFormat="1" ht="15" x14ac:dyDescent="0.25"/>
    <row r="2562" s="1" customFormat="1" ht="15" x14ac:dyDescent="0.25"/>
    <row r="2563" s="1" customFormat="1" ht="15" x14ac:dyDescent="0.25"/>
    <row r="2564" s="1" customFormat="1" ht="15" x14ac:dyDescent="0.25"/>
    <row r="2565" s="1" customFormat="1" ht="15" x14ac:dyDescent="0.25"/>
    <row r="2566" s="1" customFormat="1" ht="15" x14ac:dyDescent="0.25"/>
    <row r="2567" s="1" customFormat="1" ht="15" x14ac:dyDescent="0.25"/>
    <row r="2568" s="1" customFormat="1" ht="15" x14ac:dyDescent="0.25"/>
    <row r="2569" s="1" customFormat="1" ht="15" x14ac:dyDescent="0.25"/>
    <row r="2570" s="1" customFormat="1" ht="15" x14ac:dyDescent="0.25"/>
    <row r="2571" s="1" customFormat="1" ht="15" x14ac:dyDescent="0.25"/>
    <row r="2572" s="1" customFormat="1" ht="15" x14ac:dyDescent="0.25"/>
    <row r="2573" s="1" customFormat="1" ht="15" x14ac:dyDescent="0.25"/>
    <row r="2574" s="1" customFormat="1" ht="15" x14ac:dyDescent="0.25"/>
    <row r="2575" s="1" customFormat="1" ht="15" x14ac:dyDescent="0.25"/>
    <row r="2576" s="1" customFormat="1" ht="15" x14ac:dyDescent="0.25"/>
    <row r="2577" s="1" customFormat="1" ht="15" x14ac:dyDescent="0.25"/>
    <row r="2578" s="1" customFormat="1" ht="15" x14ac:dyDescent="0.25"/>
    <row r="2579" s="1" customFormat="1" ht="15" x14ac:dyDescent="0.25"/>
    <row r="2580" s="1" customFormat="1" ht="15" x14ac:dyDescent="0.25"/>
    <row r="2581" s="1" customFormat="1" ht="15" x14ac:dyDescent="0.25"/>
    <row r="2582" s="1" customFormat="1" ht="15" x14ac:dyDescent="0.25"/>
    <row r="2583" s="1" customFormat="1" ht="15" x14ac:dyDescent="0.25"/>
    <row r="2584" s="1" customFormat="1" ht="15" x14ac:dyDescent="0.25"/>
    <row r="2585" s="1" customFormat="1" ht="15" x14ac:dyDescent="0.25"/>
    <row r="2586" s="1" customFormat="1" ht="15" x14ac:dyDescent="0.25"/>
    <row r="2587" s="1" customFormat="1" ht="15" x14ac:dyDescent="0.25"/>
    <row r="2588" s="1" customFormat="1" ht="15" x14ac:dyDescent="0.25"/>
    <row r="2589" s="1" customFormat="1" ht="15" x14ac:dyDescent="0.25"/>
    <row r="2590" s="1" customFormat="1" ht="15" x14ac:dyDescent="0.25"/>
    <row r="2591" s="1" customFormat="1" ht="15" x14ac:dyDescent="0.25"/>
    <row r="2592" s="1" customFormat="1" ht="15" x14ac:dyDescent="0.25"/>
    <row r="2593" s="1" customFormat="1" ht="15" x14ac:dyDescent="0.25"/>
    <row r="2594" s="1" customFormat="1" ht="15" x14ac:dyDescent="0.25"/>
    <row r="2595" s="1" customFormat="1" ht="15" x14ac:dyDescent="0.25"/>
    <row r="2596" s="1" customFormat="1" ht="15" x14ac:dyDescent="0.25"/>
    <row r="2597" s="1" customFormat="1" ht="15" x14ac:dyDescent="0.25"/>
    <row r="2598" s="1" customFormat="1" ht="15" x14ac:dyDescent="0.25"/>
    <row r="2599" s="1" customFormat="1" ht="15" x14ac:dyDescent="0.25"/>
    <row r="2600" s="1" customFormat="1" ht="15" x14ac:dyDescent="0.25"/>
    <row r="2601" s="1" customFormat="1" ht="15" x14ac:dyDescent="0.25"/>
    <row r="2602" s="1" customFormat="1" ht="15" x14ac:dyDescent="0.25"/>
    <row r="2603" s="1" customFormat="1" ht="15" x14ac:dyDescent="0.25"/>
    <row r="2604" s="1" customFormat="1" ht="15" x14ac:dyDescent="0.25"/>
    <row r="2605" s="1" customFormat="1" ht="15" x14ac:dyDescent="0.25"/>
    <row r="2606" s="1" customFormat="1" ht="15" x14ac:dyDescent="0.25"/>
    <row r="2607" s="1" customFormat="1" ht="15" x14ac:dyDescent="0.25"/>
    <row r="2608" s="1" customFormat="1" ht="15" x14ac:dyDescent="0.25"/>
    <row r="2609" s="1" customFormat="1" ht="15" x14ac:dyDescent="0.25"/>
    <row r="2610" s="1" customFormat="1" ht="15" x14ac:dyDescent="0.25"/>
    <row r="2611" s="1" customFormat="1" ht="15" x14ac:dyDescent="0.25"/>
    <row r="2612" s="1" customFormat="1" ht="15" x14ac:dyDescent="0.25"/>
    <row r="2613" s="1" customFormat="1" ht="15" x14ac:dyDescent="0.25"/>
    <row r="2614" s="1" customFormat="1" ht="15" x14ac:dyDescent="0.25"/>
    <row r="2615" s="1" customFormat="1" ht="15" x14ac:dyDescent="0.25"/>
    <row r="2616" s="1" customFormat="1" ht="15" x14ac:dyDescent="0.25"/>
    <row r="2617" s="1" customFormat="1" ht="15" x14ac:dyDescent="0.25"/>
    <row r="2618" s="1" customFormat="1" ht="15" x14ac:dyDescent="0.25"/>
    <row r="2619" s="1" customFormat="1" ht="15" x14ac:dyDescent="0.25"/>
    <row r="2620" s="1" customFormat="1" ht="15" x14ac:dyDescent="0.25"/>
    <row r="2621" s="1" customFormat="1" ht="15" x14ac:dyDescent="0.25"/>
    <row r="2622" s="1" customFormat="1" ht="15" x14ac:dyDescent="0.25"/>
    <row r="2623" s="1" customFormat="1" ht="15" x14ac:dyDescent="0.25"/>
    <row r="2624" s="1" customFormat="1" ht="15" x14ac:dyDescent="0.25"/>
    <row r="2625" s="1" customFormat="1" ht="15" x14ac:dyDescent="0.25"/>
    <row r="2626" s="1" customFormat="1" ht="15" x14ac:dyDescent="0.25"/>
    <row r="2627" s="1" customFormat="1" ht="15" x14ac:dyDescent="0.25"/>
    <row r="2628" s="1" customFormat="1" ht="15" x14ac:dyDescent="0.25"/>
    <row r="2629" s="1" customFormat="1" ht="15" x14ac:dyDescent="0.25"/>
    <row r="2630" s="1" customFormat="1" ht="15" x14ac:dyDescent="0.25"/>
    <row r="2631" s="1" customFormat="1" ht="15" x14ac:dyDescent="0.25"/>
    <row r="2632" s="1" customFormat="1" ht="15" x14ac:dyDescent="0.25"/>
    <row r="2633" s="1" customFormat="1" ht="15" x14ac:dyDescent="0.25"/>
    <row r="2634" s="1" customFormat="1" ht="15" x14ac:dyDescent="0.25"/>
    <row r="2635" s="1" customFormat="1" ht="15" x14ac:dyDescent="0.25"/>
    <row r="2636" s="1" customFormat="1" ht="15" x14ac:dyDescent="0.25"/>
    <row r="2637" s="1" customFormat="1" ht="15" x14ac:dyDescent="0.25"/>
    <row r="2638" s="1" customFormat="1" ht="15" x14ac:dyDescent="0.25"/>
    <row r="2639" s="1" customFormat="1" ht="15" x14ac:dyDescent="0.25"/>
    <row r="2640" s="1" customFormat="1" ht="15" x14ac:dyDescent="0.25"/>
    <row r="2641" s="1" customFormat="1" ht="15" x14ac:dyDescent="0.25"/>
    <row r="2642" s="1" customFormat="1" ht="15" x14ac:dyDescent="0.25"/>
    <row r="2643" s="1" customFormat="1" ht="15" x14ac:dyDescent="0.25"/>
    <row r="2644" s="1" customFormat="1" ht="15" x14ac:dyDescent="0.25"/>
    <row r="2645" s="1" customFormat="1" ht="15" x14ac:dyDescent="0.25"/>
    <row r="2646" s="1" customFormat="1" ht="15" x14ac:dyDescent="0.25"/>
    <row r="2647" s="1" customFormat="1" ht="15" x14ac:dyDescent="0.25"/>
    <row r="2648" s="1" customFormat="1" ht="15" x14ac:dyDescent="0.25"/>
    <row r="2649" s="1" customFormat="1" ht="15" x14ac:dyDescent="0.25"/>
    <row r="2650" s="1" customFormat="1" ht="15" x14ac:dyDescent="0.25"/>
    <row r="2651" s="1" customFormat="1" ht="15" x14ac:dyDescent="0.25"/>
    <row r="2652" s="1" customFormat="1" ht="15" x14ac:dyDescent="0.25"/>
    <row r="2653" s="1" customFormat="1" ht="15" x14ac:dyDescent="0.25"/>
    <row r="2654" s="1" customFormat="1" ht="15" x14ac:dyDescent="0.25"/>
    <row r="2655" s="1" customFormat="1" ht="15" x14ac:dyDescent="0.25"/>
    <row r="2656" s="1" customFormat="1" ht="15" x14ac:dyDescent="0.25"/>
    <row r="2657" s="1" customFormat="1" ht="15" x14ac:dyDescent="0.25"/>
    <row r="2658" s="1" customFormat="1" ht="15" x14ac:dyDescent="0.25"/>
    <row r="2659" s="1" customFormat="1" ht="15" x14ac:dyDescent="0.25"/>
    <row r="2660" s="1" customFormat="1" ht="15" x14ac:dyDescent="0.25"/>
    <row r="2661" s="1" customFormat="1" ht="15" x14ac:dyDescent="0.25"/>
    <row r="2662" s="1" customFormat="1" ht="15" x14ac:dyDescent="0.25"/>
    <row r="2663" s="1" customFormat="1" ht="15" x14ac:dyDescent="0.25"/>
    <row r="2664" s="1" customFormat="1" ht="15" x14ac:dyDescent="0.25"/>
    <row r="2665" s="1" customFormat="1" ht="15" x14ac:dyDescent="0.25"/>
    <row r="2666" s="1" customFormat="1" ht="15" x14ac:dyDescent="0.25"/>
    <row r="2667" s="1" customFormat="1" ht="15" x14ac:dyDescent="0.25"/>
    <row r="2668" s="1" customFormat="1" ht="15" x14ac:dyDescent="0.25"/>
    <row r="2669" s="1" customFormat="1" ht="15" x14ac:dyDescent="0.25"/>
    <row r="2670" s="1" customFormat="1" ht="15" x14ac:dyDescent="0.25"/>
    <row r="2671" s="1" customFormat="1" ht="15" x14ac:dyDescent="0.25"/>
    <row r="2672" s="1" customFormat="1" ht="15" x14ac:dyDescent="0.25"/>
    <row r="2673" s="1" customFormat="1" ht="15" x14ac:dyDescent="0.25"/>
    <row r="2674" s="1" customFormat="1" ht="15" x14ac:dyDescent="0.25"/>
    <row r="2675" s="1" customFormat="1" ht="15" x14ac:dyDescent="0.25"/>
    <row r="2676" s="1" customFormat="1" ht="15" x14ac:dyDescent="0.25"/>
    <row r="2677" s="1" customFormat="1" ht="15" x14ac:dyDescent="0.25"/>
    <row r="2678" s="1" customFormat="1" ht="15" x14ac:dyDescent="0.25"/>
    <row r="2679" s="1" customFormat="1" ht="15" x14ac:dyDescent="0.25"/>
    <row r="2680" s="1" customFormat="1" ht="15" x14ac:dyDescent="0.25"/>
    <row r="2681" s="1" customFormat="1" ht="15" x14ac:dyDescent="0.25"/>
    <row r="2682" s="1" customFormat="1" ht="15" x14ac:dyDescent="0.25"/>
    <row r="2683" s="1" customFormat="1" ht="15" x14ac:dyDescent="0.25"/>
    <row r="2684" s="1" customFormat="1" ht="15" x14ac:dyDescent="0.25"/>
    <row r="2685" s="1" customFormat="1" ht="15" x14ac:dyDescent="0.25"/>
    <row r="2686" s="1" customFormat="1" ht="15" x14ac:dyDescent="0.25"/>
    <row r="2687" s="1" customFormat="1" ht="15" x14ac:dyDescent="0.25"/>
    <row r="2688" s="1" customFormat="1" ht="15" x14ac:dyDescent="0.25"/>
    <row r="2689" s="1" customFormat="1" ht="15" x14ac:dyDescent="0.25"/>
    <row r="2690" s="1" customFormat="1" ht="15" x14ac:dyDescent="0.25"/>
    <row r="2691" s="1" customFormat="1" ht="15" x14ac:dyDescent="0.25"/>
    <row r="2692" s="1" customFormat="1" ht="15" x14ac:dyDescent="0.25"/>
    <row r="2693" s="1" customFormat="1" ht="15" x14ac:dyDescent="0.25"/>
    <row r="2694" s="1" customFormat="1" ht="15" x14ac:dyDescent="0.25"/>
    <row r="2695" s="1" customFormat="1" ht="15" x14ac:dyDescent="0.25"/>
    <row r="2696" s="1" customFormat="1" ht="15" x14ac:dyDescent="0.25"/>
    <row r="2697" s="1" customFormat="1" ht="15" x14ac:dyDescent="0.25"/>
    <row r="2698" s="1" customFormat="1" ht="15" x14ac:dyDescent="0.25"/>
    <row r="2699" s="1" customFormat="1" ht="15" x14ac:dyDescent="0.25"/>
    <row r="2700" s="1" customFormat="1" ht="15" x14ac:dyDescent="0.25"/>
    <row r="2701" s="1" customFormat="1" ht="15" x14ac:dyDescent="0.25"/>
    <row r="2702" s="1" customFormat="1" ht="15" x14ac:dyDescent="0.25"/>
    <row r="2703" s="1" customFormat="1" ht="15" x14ac:dyDescent="0.25"/>
    <row r="2704" s="1" customFormat="1" ht="15" x14ac:dyDescent="0.25"/>
    <row r="2705" s="1" customFormat="1" ht="15" x14ac:dyDescent="0.25"/>
    <row r="2706" s="1" customFormat="1" ht="15" x14ac:dyDescent="0.25"/>
    <row r="2707" s="1" customFormat="1" ht="15" x14ac:dyDescent="0.25"/>
    <row r="2708" s="1" customFormat="1" ht="15" x14ac:dyDescent="0.25"/>
    <row r="2709" s="1" customFormat="1" ht="15" x14ac:dyDescent="0.25"/>
    <row r="2710" s="1" customFormat="1" ht="15" x14ac:dyDescent="0.25"/>
    <row r="2711" s="1" customFormat="1" ht="15" x14ac:dyDescent="0.25"/>
    <row r="2712" s="1" customFormat="1" ht="15" x14ac:dyDescent="0.25"/>
    <row r="2713" s="1" customFormat="1" ht="15" x14ac:dyDescent="0.25"/>
    <row r="2714" s="1" customFormat="1" ht="15" x14ac:dyDescent="0.25"/>
    <row r="2715" s="1" customFormat="1" ht="15" x14ac:dyDescent="0.25"/>
    <row r="2716" s="1" customFormat="1" ht="15" x14ac:dyDescent="0.25"/>
    <row r="2717" s="1" customFormat="1" ht="15" x14ac:dyDescent="0.25"/>
    <row r="2718" s="1" customFormat="1" ht="15" x14ac:dyDescent="0.25"/>
    <row r="2719" s="1" customFormat="1" ht="15" x14ac:dyDescent="0.25"/>
    <row r="2720" s="1" customFormat="1" ht="15" x14ac:dyDescent="0.25"/>
    <row r="2721" s="1" customFormat="1" ht="15" x14ac:dyDescent="0.25"/>
    <row r="2722" s="1" customFormat="1" ht="15" x14ac:dyDescent="0.25"/>
    <row r="2723" s="1" customFormat="1" ht="15" x14ac:dyDescent="0.25"/>
    <row r="2724" s="1" customFormat="1" ht="15" x14ac:dyDescent="0.25"/>
    <row r="2725" s="1" customFormat="1" ht="15" x14ac:dyDescent="0.25"/>
    <row r="2726" s="1" customFormat="1" ht="15" x14ac:dyDescent="0.25"/>
    <row r="2727" s="1" customFormat="1" ht="15" x14ac:dyDescent="0.25"/>
    <row r="2728" s="1" customFormat="1" ht="15" x14ac:dyDescent="0.25"/>
    <row r="2729" s="1" customFormat="1" ht="15" x14ac:dyDescent="0.25"/>
    <row r="2730" s="1" customFormat="1" ht="15" x14ac:dyDescent="0.25"/>
    <row r="2731" s="1" customFormat="1" ht="15" x14ac:dyDescent="0.25"/>
    <row r="2732" s="1" customFormat="1" ht="15" x14ac:dyDescent="0.25"/>
    <row r="2733" s="1" customFormat="1" ht="15" x14ac:dyDescent="0.25"/>
    <row r="2734" s="1" customFormat="1" ht="15" x14ac:dyDescent="0.25"/>
    <row r="2735" s="1" customFormat="1" ht="15" x14ac:dyDescent="0.25"/>
    <row r="2736" s="1" customFormat="1" ht="15" x14ac:dyDescent="0.25"/>
    <row r="2737" s="1" customFormat="1" ht="15" x14ac:dyDescent="0.25"/>
    <row r="2738" s="1" customFormat="1" ht="15" x14ac:dyDescent="0.25"/>
    <row r="2739" s="1" customFormat="1" ht="15" x14ac:dyDescent="0.25"/>
    <row r="2740" s="1" customFormat="1" ht="15" x14ac:dyDescent="0.25"/>
    <row r="2741" s="1" customFormat="1" ht="15" x14ac:dyDescent="0.25"/>
    <row r="2742" s="1" customFormat="1" ht="15" x14ac:dyDescent="0.25"/>
    <row r="2743" s="1" customFormat="1" ht="15" x14ac:dyDescent="0.25"/>
    <row r="2744" s="1" customFormat="1" ht="15" x14ac:dyDescent="0.25"/>
    <row r="2745" s="1" customFormat="1" ht="15" x14ac:dyDescent="0.25"/>
    <row r="2746" s="1" customFormat="1" ht="15" x14ac:dyDescent="0.25"/>
    <row r="2747" s="1" customFormat="1" ht="15" x14ac:dyDescent="0.25"/>
    <row r="2748" s="1" customFormat="1" ht="15" x14ac:dyDescent="0.25"/>
    <row r="2749" s="1" customFormat="1" ht="15" x14ac:dyDescent="0.25"/>
    <row r="2750" s="1" customFormat="1" ht="15" x14ac:dyDescent="0.25"/>
    <row r="2751" s="1" customFormat="1" ht="15" x14ac:dyDescent="0.25"/>
    <row r="2752" s="1" customFormat="1" ht="15" x14ac:dyDescent="0.25"/>
    <row r="2753" s="1" customFormat="1" ht="15" x14ac:dyDescent="0.25"/>
    <row r="2754" s="1" customFormat="1" ht="15" x14ac:dyDescent="0.25"/>
    <row r="2755" s="1" customFormat="1" ht="15" x14ac:dyDescent="0.25"/>
    <row r="2756" s="1" customFormat="1" ht="15" x14ac:dyDescent="0.25"/>
    <row r="2757" s="1" customFormat="1" ht="15" x14ac:dyDescent="0.25"/>
    <row r="2758" s="1" customFormat="1" ht="15" x14ac:dyDescent="0.25"/>
    <row r="2759" s="1" customFormat="1" ht="15" x14ac:dyDescent="0.25"/>
    <row r="2760" s="1" customFormat="1" ht="15" x14ac:dyDescent="0.25"/>
    <row r="2761" s="1" customFormat="1" ht="15" x14ac:dyDescent="0.25"/>
    <row r="2762" s="1" customFormat="1" ht="15" x14ac:dyDescent="0.25"/>
    <row r="2763" s="1" customFormat="1" ht="15" x14ac:dyDescent="0.25"/>
    <row r="2764" s="1" customFormat="1" ht="15" x14ac:dyDescent="0.25"/>
    <row r="2765" s="1" customFormat="1" ht="15" x14ac:dyDescent="0.25"/>
    <row r="2766" s="1" customFormat="1" ht="15" x14ac:dyDescent="0.25"/>
    <row r="2767" s="1" customFormat="1" ht="15" x14ac:dyDescent="0.25"/>
    <row r="2768" s="1" customFormat="1" ht="15" x14ac:dyDescent="0.25"/>
    <row r="2769" s="1" customFormat="1" ht="15" x14ac:dyDescent="0.25"/>
    <row r="2770" s="1" customFormat="1" ht="15" x14ac:dyDescent="0.25"/>
    <row r="2771" s="1" customFormat="1" ht="15" x14ac:dyDescent="0.25"/>
    <row r="2772" s="1" customFormat="1" ht="15" x14ac:dyDescent="0.25"/>
    <row r="2773" s="1" customFormat="1" ht="15" x14ac:dyDescent="0.25"/>
    <row r="2774" s="1" customFormat="1" ht="15" x14ac:dyDescent="0.25"/>
    <row r="2775" s="1" customFormat="1" ht="15" x14ac:dyDescent="0.25"/>
    <row r="2776" s="1" customFormat="1" ht="15" x14ac:dyDescent="0.25"/>
    <row r="2777" s="1" customFormat="1" ht="15" x14ac:dyDescent="0.25"/>
    <row r="2778" s="1" customFormat="1" ht="15" x14ac:dyDescent="0.25"/>
    <row r="2779" s="1" customFormat="1" ht="15" x14ac:dyDescent="0.25"/>
    <row r="2780" s="1" customFormat="1" ht="15" x14ac:dyDescent="0.25"/>
    <row r="2781" s="1" customFormat="1" ht="15" x14ac:dyDescent="0.25"/>
    <row r="2782" s="1" customFormat="1" ht="15" x14ac:dyDescent="0.25"/>
    <row r="2783" s="1" customFormat="1" ht="15" x14ac:dyDescent="0.25"/>
    <row r="2784" s="1" customFormat="1" ht="15" x14ac:dyDescent="0.25"/>
    <row r="2785" s="1" customFormat="1" ht="15" x14ac:dyDescent="0.25"/>
    <row r="2786" s="1" customFormat="1" ht="15" x14ac:dyDescent="0.25"/>
    <row r="2787" s="1" customFormat="1" ht="15" x14ac:dyDescent="0.25"/>
    <row r="2788" s="1" customFormat="1" ht="15" x14ac:dyDescent="0.25"/>
    <row r="2789" s="1" customFormat="1" ht="15" x14ac:dyDescent="0.25"/>
    <row r="2790" s="1" customFormat="1" ht="15" x14ac:dyDescent="0.25"/>
    <row r="2791" s="1" customFormat="1" ht="15" x14ac:dyDescent="0.25"/>
    <row r="2792" s="1" customFormat="1" ht="15" x14ac:dyDescent="0.25"/>
    <row r="2793" s="1" customFormat="1" ht="15" x14ac:dyDescent="0.25"/>
    <row r="2794" s="1" customFormat="1" ht="15" x14ac:dyDescent="0.25"/>
    <row r="2795" s="1" customFormat="1" ht="15" x14ac:dyDescent="0.25"/>
    <row r="2796" s="1" customFormat="1" ht="15" x14ac:dyDescent="0.25"/>
    <row r="2797" s="1" customFormat="1" ht="15" x14ac:dyDescent="0.25"/>
    <row r="2798" s="1" customFormat="1" ht="15" x14ac:dyDescent="0.25"/>
    <row r="2799" s="1" customFormat="1" ht="15" x14ac:dyDescent="0.25"/>
    <row r="2800" s="1" customFormat="1" ht="15" x14ac:dyDescent="0.25"/>
    <row r="2801" s="1" customFormat="1" ht="15" x14ac:dyDescent="0.25"/>
    <row r="2802" s="1" customFormat="1" ht="15" x14ac:dyDescent="0.25"/>
    <row r="2803" s="1" customFormat="1" ht="15" x14ac:dyDescent="0.25"/>
    <row r="2804" s="1" customFormat="1" ht="15" x14ac:dyDescent="0.25"/>
    <row r="2805" s="1" customFormat="1" ht="15" x14ac:dyDescent="0.25"/>
    <row r="2806" s="1" customFormat="1" ht="15" x14ac:dyDescent="0.25"/>
    <row r="2807" s="1" customFormat="1" ht="15" x14ac:dyDescent="0.25"/>
    <row r="2808" s="1" customFormat="1" ht="15" x14ac:dyDescent="0.25"/>
    <row r="2809" s="1" customFormat="1" ht="15" x14ac:dyDescent="0.25"/>
    <row r="2810" s="1" customFormat="1" ht="15" x14ac:dyDescent="0.25"/>
    <row r="2811" s="1" customFormat="1" ht="15" x14ac:dyDescent="0.25"/>
    <row r="2812" s="1" customFormat="1" ht="15" x14ac:dyDescent="0.25"/>
    <row r="2813" s="1" customFormat="1" ht="15" x14ac:dyDescent="0.25"/>
    <row r="2814" s="1" customFormat="1" ht="15" x14ac:dyDescent="0.25"/>
    <row r="2815" s="1" customFormat="1" ht="15" x14ac:dyDescent="0.25"/>
    <row r="2816" s="1" customFormat="1" ht="15" x14ac:dyDescent="0.25"/>
    <row r="2817" s="1" customFormat="1" ht="15" x14ac:dyDescent="0.25"/>
    <row r="2818" s="1" customFormat="1" ht="15" x14ac:dyDescent="0.25"/>
    <row r="2819" s="1" customFormat="1" ht="15" x14ac:dyDescent="0.25"/>
    <row r="2820" s="1" customFormat="1" ht="15" x14ac:dyDescent="0.25"/>
    <row r="2821" s="1" customFormat="1" ht="15" x14ac:dyDescent="0.25"/>
    <row r="2822" s="1" customFormat="1" ht="15" x14ac:dyDescent="0.25"/>
    <row r="2823" s="1" customFormat="1" ht="15" x14ac:dyDescent="0.25"/>
    <row r="2824" s="1" customFormat="1" ht="15" x14ac:dyDescent="0.25"/>
    <row r="2825" s="1" customFormat="1" ht="15" x14ac:dyDescent="0.25"/>
    <row r="2826" s="1" customFormat="1" ht="15" x14ac:dyDescent="0.25"/>
    <row r="2827" s="1" customFormat="1" ht="15" x14ac:dyDescent="0.25"/>
    <row r="2828" s="1" customFormat="1" ht="15" x14ac:dyDescent="0.25"/>
    <row r="2829" s="1" customFormat="1" ht="15" x14ac:dyDescent="0.25"/>
    <row r="2830" s="1" customFormat="1" ht="15" x14ac:dyDescent="0.25"/>
    <row r="2831" s="1" customFormat="1" ht="15" x14ac:dyDescent="0.25"/>
    <row r="2832" s="1" customFormat="1" ht="15" x14ac:dyDescent="0.25"/>
    <row r="2833" s="1" customFormat="1" ht="15" x14ac:dyDescent="0.25"/>
    <row r="2834" s="1" customFormat="1" ht="15" x14ac:dyDescent="0.25"/>
    <row r="2835" s="1" customFormat="1" ht="15" x14ac:dyDescent="0.25"/>
    <row r="2836" s="1" customFormat="1" ht="15" x14ac:dyDescent="0.25"/>
    <row r="2837" s="1" customFormat="1" ht="15" x14ac:dyDescent="0.25"/>
    <row r="2838" s="1" customFormat="1" ht="15" x14ac:dyDescent="0.25"/>
    <row r="2839" s="1" customFormat="1" ht="15" x14ac:dyDescent="0.25"/>
    <row r="2840" s="1" customFormat="1" ht="15" x14ac:dyDescent="0.25"/>
    <row r="2841" s="1" customFormat="1" ht="15" x14ac:dyDescent="0.25"/>
    <row r="2842" s="1" customFormat="1" ht="15" x14ac:dyDescent="0.25"/>
    <row r="2843" s="1" customFormat="1" ht="15" x14ac:dyDescent="0.25"/>
    <row r="2844" s="1" customFormat="1" ht="15" x14ac:dyDescent="0.25"/>
    <row r="2845" s="1" customFormat="1" ht="15" x14ac:dyDescent="0.25"/>
    <row r="2846" s="1" customFormat="1" ht="15" x14ac:dyDescent="0.25"/>
    <row r="2847" s="1" customFormat="1" ht="15" x14ac:dyDescent="0.25"/>
    <row r="2848" s="1" customFormat="1" ht="15" x14ac:dyDescent="0.25"/>
    <row r="2849" s="1" customFormat="1" ht="15" x14ac:dyDescent="0.25"/>
    <row r="2850" s="1" customFormat="1" ht="15" x14ac:dyDescent="0.25"/>
    <row r="2851" s="1" customFormat="1" ht="15" x14ac:dyDescent="0.25"/>
    <row r="2852" s="1" customFormat="1" ht="15" x14ac:dyDescent="0.25"/>
    <row r="2853" s="1" customFormat="1" ht="15" x14ac:dyDescent="0.25"/>
    <row r="2854" s="1" customFormat="1" ht="15" x14ac:dyDescent="0.25"/>
    <row r="2855" s="1" customFormat="1" ht="15" x14ac:dyDescent="0.25"/>
    <row r="2856" s="1" customFormat="1" ht="15" x14ac:dyDescent="0.25"/>
    <row r="2857" s="1" customFormat="1" ht="15" x14ac:dyDescent="0.25"/>
    <row r="2858" s="1" customFormat="1" ht="15" x14ac:dyDescent="0.25"/>
    <row r="2859" s="1" customFormat="1" ht="15" x14ac:dyDescent="0.25"/>
    <row r="2860" s="1" customFormat="1" ht="15" x14ac:dyDescent="0.25"/>
    <row r="2861" s="1" customFormat="1" ht="15" x14ac:dyDescent="0.25"/>
    <row r="2862" s="1" customFormat="1" ht="15" x14ac:dyDescent="0.25"/>
    <row r="2863" s="1" customFormat="1" ht="15" x14ac:dyDescent="0.25"/>
    <row r="2864" s="1" customFormat="1" ht="15" x14ac:dyDescent="0.25"/>
    <row r="2865" s="1" customFormat="1" ht="15" x14ac:dyDescent="0.25"/>
    <row r="2866" s="1" customFormat="1" ht="15" x14ac:dyDescent="0.25"/>
    <row r="2867" s="1" customFormat="1" ht="15" x14ac:dyDescent="0.25"/>
    <row r="2868" s="1" customFormat="1" ht="15" x14ac:dyDescent="0.25"/>
    <row r="2869" s="1" customFormat="1" ht="15" x14ac:dyDescent="0.25"/>
    <row r="2870" s="1" customFormat="1" ht="15" x14ac:dyDescent="0.25"/>
    <row r="2871" s="1" customFormat="1" ht="15" x14ac:dyDescent="0.25"/>
    <row r="2872" s="1" customFormat="1" ht="15" x14ac:dyDescent="0.25"/>
    <row r="2873" s="1" customFormat="1" ht="15" x14ac:dyDescent="0.25"/>
    <row r="2874" s="1" customFormat="1" ht="15" x14ac:dyDescent="0.25"/>
    <row r="2875" s="1" customFormat="1" ht="15" x14ac:dyDescent="0.25"/>
    <row r="2876" s="1" customFormat="1" ht="15" x14ac:dyDescent="0.25"/>
    <row r="2877" s="1" customFormat="1" ht="15" x14ac:dyDescent="0.25"/>
    <row r="2878" s="1" customFormat="1" ht="15" x14ac:dyDescent="0.25"/>
    <row r="2879" s="1" customFormat="1" ht="15" x14ac:dyDescent="0.25"/>
    <row r="2880" s="1" customFormat="1" ht="15" x14ac:dyDescent="0.25"/>
    <row r="2881" s="1" customFormat="1" ht="15" x14ac:dyDescent="0.25"/>
    <row r="2882" s="1" customFormat="1" ht="15" x14ac:dyDescent="0.25"/>
    <row r="2883" s="1" customFormat="1" ht="15" x14ac:dyDescent="0.25"/>
    <row r="2884" s="1" customFormat="1" ht="15" x14ac:dyDescent="0.25"/>
    <row r="2885" s="1" customFormat="1" ht="15" x14ac:dyDescent="0.25"/>
    <row r="2886" s="1" customFormat="1" ht="15" x14ac:dyDescent="0.25"/>
    <row r="2887" s="1" customFormat="1" ht="15" x14ac:dyDescent="0.25"/>
    <row r="2888" s="1" customFormat="1" ht="15" x14ac:dyDescent="0.25"/>
    <row r="2889" s="1" customFormat="1" ht="15" x14ac:dyDescent="0.25"/>
    <row r="2890" s="1" customFormat="1" ht="15" x14ac:dyDescent="0.25"/>
    <row r="2891" s="1" customFormat="1" ht="15" x14ac:dyDescent="0.25"/>
    <row r="2892" s="1" customFormat="1" ht="15" x14ac:dyDescent="0.25"/>
    <row r="2893" s="1" customFormat="1" ht="15" x14ac:dyDescent="0.25"/>
    <row r="2894" s="1" customFormat="1" ht="15" x14ac:dyDescent="0.25"/>
    <row r="2895" s="1" customFormat="1" ht="15" x14ac:dyDescent="0.25"/>
    <row r="2896" s="1" customFormat="1" ht="15" x14ac:dyDescent="0.25"/>
    <row r="2897" s="1" customFormat="1" ht="15" x14ac:dyDescent="0.25"/>
    <row r="2898" s="1" customFormat="1" ht="15" x14ac:dyDescent="0.25"/>
    <row r="2899" s="1" customFormat="1" ht="15" x14ac:dyDescent="0.25"/>
    <row r="2900" s="1" customFormat="1" ht="15" x14ac:dyDescent="0.25"/>
    <row r="2901" s="1" customFormat="1" ht="15" x14ac:dyDescent="0.25"/>
    <row r="2902" s="1" customFormat="1" ht="15" x14ac:dyDescent="0.25"/>
    <row r="2903" s="1" customFormat="1" ht="15" x14ac:dyDescent="0.25"/>
    <row r="2904" s="1" customFormat="1" ht="15" x14ac:dyDescent="0.25"/>
    <row r="2905" s="1" customFormat="1" ht="15" x14ac:dyDescent="0.25"/>
    <row r="2906" s="1" customFormat="1" ht="15" x14ac:dyDescent="0.25"/>
    <row r="2907" s="1" customFormat="1" ht="15" x14ac:dyDescent="0.25"/>
    <row r="2908" s="1" customFormat="1" ht="15" x14ac:dyDescent="0.25"/>
    <row r="2909" s="1" customFormat="1" ht="15" x14ac:dyDescent="0.25"/>
    <row r="2910" s="1" customFormat="1" ht="15" x14ac:dyDescent="0.25"/>
    <row r="2911" s="1" customFormat="1" ht="15" x14ac:dyDescent="0.25"/>
    <row r="2912" s="1" customFormat="1" ht="15" x14ac:dyDescent="0.25"/>
    <row r="2913" s="1" customFormat="1" ht="15" x14ac:dyDescent="0.25"/>
    <row r="2914" s="1" customFormat="1" ht="15" x14ac:dyDescent="0.25"/>
    <row r="2915" s="1" customFormat="1" ht="15" x14ac:dyDescent="0.25"/>
    <row r="2916" s="1" customFormat="1" ht="15" x14ac:dyDescent="0.25"/>
    <row r="2917" s="1" customFormat="1" ht="15" x14ac:dyDescent="0.25"/>
    <row r="2918" s="1" customFormat="1" ht="15" x14ac:dyDescent="0.25"/>
    <row r="2919" s="1" customFormat="1" ht="15" x14ac:dyDescent="0.25"/>
    <row r="2920" s="1" customFormat="1" ht="15" x14ac:dyDescent="0.25"/>
    <row r="2921" s="1" customFormat="1" ht="15" x14ac:dyDescent="0.25"/>
    <row r="2922" s="1" customFormat="1" ht="15" x14ac:dyDescent="0.25"/>
    <row r="2923" s="1" customFormat="1" ht="15" x14ac:dyDescent="0.25"/>
    <row r="2924" s="1" customFormat="1" ht="15" x14ac:dyDescent="0.25"/>
    <row r="2925" s="1" customFormat="1" ht="15" x14ac:dyDescent="0.25"/>
    <row r="2926" s="1" customFormat="1" ht="15" x14ac:dyDescent="0.25"/>
    <row r="2927" s="1" customFormat="1" ht="15" x14ac:dyDescent="0.25"/>
    <row r="2928" s="1" customFormat="1" ht="15" x14ac:dyDescent="0.25"/>
    <row r="2929" s="1" customFormat="1" ht="15" x14ac:dyDescent="0.25"/>
    <row r="2930" s="1" customFormat="1" ht="15" x14ac:dyDescent="0.25"/>
    <row r="2931" s="1" customFormat="1" ht="15" x14ac:dyDescent="0.25"/>
    <row r="2932" s="1" customFormat="1" ht="15" x14ac:dyDescent="0.25"/>
    <row r="2933" s="1" customFormat="1" ht="15" x14ac:dyDescent="0.25"/>
    <row r="2934" s="1" customFormat="1" ht="15" x14ac:dyDescent="0.25"/>
    <row r="2935" s="1" customFormat="1" ht="15" x14ac:dyDescent="0.25"/>
    <row r="2936" s="1" customFormat="1" ht="15" x14ac:dyDescent="0.25"/>
    <row r="2937" s="1" customFormat="1" ht="15" x14ac:dyDescent="0.25"/>
    <row r="2938" s="1" customFormat="1" ht="15" x14ac:dyDescent="0.25"/>
    <row r="2939" s="1" customFormat="1" ht="15" x14ac:dyDescent="0.25"/>
    <row r="2940" s="1" customFormat="1" ht="15" x14ac:dyDescent="0.25"/>
    <row r="2941" s="1" customFormat="1" ht="15" x14ac:dyDescent="0.25"/>
    <row r="2942" s="1" customFormat="1" ht="15" x14ac:dyDescent="0.25"/>
    <row r="2943" s="1" customFormat="1" ht="15" x14ac:dyDescent="0.25"/>
    <row r="2944" s="1" customFormat="1" ht="15" x14ac:dyDescent="0.25"/>
    <row r="2945" s="1" customFormat="1" ht="15" x14ac:dyDescent="0.25"/>
    <row r="2946" s="1" customFormat="1" ht="15" x14ac:dyDescent="0.25"/>
    <row r="2947" s="1" customFormat="1" ht="15" x14ac:dyDescent="0.25"/>
    <row r="2948" s="1" customFormat="1" ht="15" x14ac:dyDescent="0.25"/>
    <row r="2949" s="1" customFormat="1" ht="15" x14ac:dyDescent="0.25"/>
    <row r="2950" s="1" customFormat="1" ht="15" x14ac:dyDescent="0.25"/>
    <row r="2951" s="1" customFormat="1" ht="15" x14ac:dyDescent="0.25"/>
    <row r="2952" s="1" customFormat="1" ht="15" x14ac:dyDescent="0.25"/>
    <row r="2953" s="1" customFormat="1" ht="15" x14ac:dyDescent="0.25"/>
    <row r="2954" s="1" customFormat="1" ht="15" x14ac:dyDescent="0.25"/>
    <row r="2955" s="1" customFormat="1" ht="15" x14ac:dyDescent="0.25"/>
    <row r="2956" s="1" customFormat="1" ht="15" x14ac:dyDescent="0.25"/>
    <row r="2957" s="1" customFormat="1" ht="15" x14ac:dyDescent="0.25"/>
    <row r="2958" s="1" customFormat="1" ht="15" x14ac:dyDescent="0.25"/>
    <row r="2959" s="1" customFormat="1" ht="15" x14ac:dyDescent="0.25"/>
    <row r="2960" s="1" customFormat="1" ht="15" x14ac:dyDescent="0.25"/>
    <row r="2961" s="1" customFormat="1" ht="15" x14ac:dyDescent="0.25"/>
    <row r="2962" s="1" customFormat="1" ht="15" x14ac:dyDescent="0.25"/>
    <row r="2963" s="1" customFormat="1" ht="15" x14ac:dyDescent="0.25"/>
    <row r="2964" s="1" customFormat="1" ht="15" x14ac:dyDescent="0.25"/>
    <row r="2965" s="1" customFormat="1" ht="15" x14ac:dyDescent="0.25"/>
    <row r="2966" s="1" customFormat="1" ht="15" x14ac:dyDescent="0.25"/>
    <row r="2967" s="1" customFormat="1" ht="15" x14ac:dyDescent="0.25"/>
    <row r="2968" s="1" customFormat="1" ht="15" x14ac:dyDescent="0.25"/>
    <row r="2969" s="1" customFormat="1" ht="15" x14ac:dyDescent="0.25"/>
    <row r="2970" s="1" customFormat="1" ht="15" x14ac:dyDescent="0.25"/>
    <row r="2971" s="1" customFormat="1" ht="15" x14ac:dyDescent="0.25"/>
    <row r="2972" s="1" customFormat="1" ht="15" x14ac:dyDescent="0.25"/>
    <row r="2973" s="1" customFormat="1" ht="15" x14ac:dyDescent="0.25"/>
    <row r="2974" s="1" customFormat="1" ht="15" x14ac:dyDescent="0.25"/>
    <row r="2975" s="1" customFormat="1" ht="15" x14ac:dyDescent="0.25"/>
    <row r="2976" s="1" customFormat="1" ht="15" x14ac:dyDescent="0.25"/>
    <row r="2977" s="1" customFormat="1" ht="15" x14ac:dyDescent="0.25"/>
    <row r="2978" s="1" customFormat="1" ht="15" x14ac:dyDescent="0.25"/>
    <row r="2979" s="1" customFormat="1" ht="15" x14ac:dyDescent="0.25"/>
    <row r="2980" s="1" customFormat="1" ht="15" x14ac:dyDescent="0.25"/>
    <row r="2981" s="1" customFormat="1" ht="15" x14ac:dyDescent="0.25"/>
    <row r="2982" s="1" customFormat="1" ht="15" x14ac:dyDescent="0.25"/>
    <row r="2983" s="1" customFormat="1" ht="15" x14ac:dyDescent="0.25"/>
    <row r="2984" s="1" customFormat="1" ht="15" x14ac:dyDescent="0.25"/>
    <row r="2985" s="1" customFormat="1" ht="15" x14ac:dyDescent="0.25"/>
    <row r="2986" s="1" customFormat="1" ht="15" x14ac:dyDescent="0.25"/>
    <row r="2987" s="1" customFormat="1" ht="15" x14ac:dyDescent="0.25"/>
    <row r="2988" s="1" customFormat="1" ht="15" x14ac:dyDescent="0.25"/>
    <row r="2989" s="1" customFormat="1" ht="15" x14ac:dyDescent="0.25"/>
    <row r="2990" s="1" customFormat="1" ht="15" x14ac:dyDescent="0.25"/>
    <row r="2991" s="1" customFormat="1" ht="15" x14ac:dyDescent="0.25"/>
    <row r="2992" s="1" customFormat="1" ht="15" x14ac:dyDescent="0.25"/>
    <row r="2993" s="1" customFormat="1" ht="15" x14ac:dyDescent="0.25"/>
    <row r="2994" s="1" customFormat="1" ht="15" x14ac:dyDescent="0.25"/>
    <row r="2995" s="1" customFormat="1" ht="15" x14ac:dyDescent="0.25"/>
    <row r="2996" s="1" customFormat="1" ht="15" x14ac:dyDescent="0.25"/>
    <row r="2997" s="1" customFormat="1" ht="15" x14ac:dyDescent="0.25"/>
    <row r="2998" s="1" customFormat="1" ht="15" x14ac:dyDescent="0.25"/>
    <row r="2999" s="1" customFormat="1" ht="15" x14ac:dyDescent="0.25"/>
    <row r="3000" s="1" customFormat="1" ht="15" x14ac:dyDescent="0.25"/>
    <row r="3001" s="1" customFormat="1" ht="15" x14ac:dyDescent="0.25"/>
    <row r="3002" s="1" customFormat="1" ht="15" x14ac:dyDescent="0.25"/>
    <row r="3003" s="1" customFormat="1" ht="15" x14ac:dyDescent="0.25"/>
    <row r="3004" s="1" customFormat="1" ht="15" x14ac:dyDescent="0.25"/>
    <row r="3005" s="1" customFormat="1" ht="15" x14ac:dyDescent="0.25"/>
    <row r="3006" s="1" customFormat="1" ht="15" x14ac:dyDescent="0.25"/>
    <row r="3007" s="1" customFormat="1" ht="15" x14ac:dyDescent="0.25"/>
    <row r="3008" s="1" customFormat="1" ht="15" x14ac:dyDescent="0.25"/>
    <row r="3009" s="1" customFormat="1" ht="15" x14ac:dyDescent="0.25"/>
    <row r="3010" s="1" customFormat="1" ht="15" x14ac:dyDescent="0.25"/>
    <row r="3011" s="1" customFormat="1" ht="15" x14ac:dyDescent="0.25"/>
    <row r="3012" s="1" customFormat="1" ht="15" x14ac:dyDescent="0.25"/>
    <row r="3013" s="1" customFormat="1" ht="15" x14ac:dyDescent="0.25"/>
    <row r="3014" s="1" customFormat="1" ht="15" x14ac:dyDescent="0.25"/>
    <row r="3015" s="1" customFormat="1" ht="15" x14ac:dyDescent="0.25"/>
    <row r="3016" s="1" customFormat="1" ht="15" x14ac:dyDescent="0.25"/>
    <row r="3017" s="1" customFormat="1" ht="15" x14ac:dyDescent="0.25"/>
    <row r="3018" s="1" customFormat="1" ht="15" x14ac:dyDescent="0.25"/>
    <row r="3019" s="1" customFormat="1" ht="15" x14ac:dyDescent="0.25"/>
    <row r="3020" s="1" customFormat="1" ht="15" x14ac:dyDescent="0.25"/>
    <row r="3021" s="1" customFormat="1" ht="15" x14ac:dyDescent="0.25"/>
    <row r="3022" s="1" customFormat="1" ht="15" x14ac:dyDescent="0.25"/>
    <row r="3023" s="1" customFormat="1" ht="15" x14ac:dyDescent="0.25"/>
    <row r="3024" s="1" customFormat="1" ht="15" x14ac:dyDescent="0.25"/>
    <row r="3025" s="1" customFormat="1" ht="15" x14ac:dyDescent="0.25"/>
    <row r="3026" s="1" customFormat="1" ht="15" x14ac:dyDescent="0.25"/>
    <row r="3027" s="1" customFormat="1" ht="15" x14ac:dyDescent="0.25"/>
    <row r="3028" s="1" customFormat="1" ht="15" x14ac:dyDescent="0.25"/>
    <row r="3029" s="1" customFormat="1" ht="15" x14ac:dyDescent="0.25"/>
    <row r="3030" s="1" customFormat="1" ht="15" x14ac:dyDescent="0.25"/>
    <row r="3031" s="1" customFormat="1" ht="15" x14ac:dyDescent="0.25"/>
    <row r="3032" s="1" customFormat="1" ht="15" x14ac:dyDescent="0.25"/>
    <row r="3033" s="1" customFormat="1" ht="15" x14ac:dyDescent="0.25"/>
    <row r="3034" s="1" customFormat="1" ht="15" x14ac:dyDescent="0.25"/>
    <row r="3035" s="1" customFormat="1" ht="15" x14ac:dyDescent="0.25"/>
    <row r="3036" s="1" customFormat="1" ht="15" x14ac:dyDescent="0.25"/>
    <row r="3037" s="1" customFormat="1" ht="15" x14ac:dyDescent="0.25"/>
    <row r="3038" s="1" customFormat="1" ht="15" x14ac:dyDescent="0.25"/>
    <row r="3039" s="1" customFormat="1" ht="15" x14ac:dyDescent="0.25"/>
    <row r="3040" s="1" customFormat="1" ht="15" x14ac:dyDescent="0.25"/>
    <row r="3041" s="1" customFormat="1" ht="15" x14ac:dyDescent="0.25"/>
    <row r="3042" s="1" customFormat="1" ht="15" x14ac:dyDescent="0.25"/>
    <row r="3043" s="1" customFormat="1" ht="15" x14ac:dyDescent="0.25"/>
    <row r="3044" s="1" customFormat="1" ht="15" x14ac:dyDescent="0.25"/>
    <row r="3045" s="1" customFormat="1" ht="15" x14ac:dyDescent="0.25"/>
    <row r="3046" s="1" customFormat="1" ht="15" x14ac:dyDescent="0.25"/>
    <row r="3047" s="1" customFormat="1" ht="15" x14ac:dyDescent="0.25"/>
    <row r="3048" s="1" customFormat="1" ht="15" x14ac:dyDescent="0.25"/>
    <row r="3049" s="1" customFormat="1" ht="15" x14ac:dyDescent="0.25"/>
    <row r="3050" s="1" customFormat="1" ht="15" x14ac:dyDescent="0.25"/>
    <row r="3051" s="1" customFormat="1" ht="15" x14ac:dyDescent="0.25"/>
    <row r="3052" s="1" customFormat="1" ht="15" x14ac:dyDescent="0.25"/>
    <row r="3053" s="1" customFormat="1" ht="15" x14ac:dyDescent="0.25"/>
    <row r="3054" s="1" customFormat="1" ht="15" x14ac:dyDescent="0.25"/>
    <row r="3055" s="1" customFormat="1" ht="15" x14ac:dyDescent="0.25"/>
    <row r="3056" s="1" customFormat="1" ht="15" x14ac:dyDescent="0.25"/>
    <row r="3057" s="1" customFormat="1" ht="15" x14ac:dyDescent="0.25"/>
    <row r="3058" s="1" customFormat="1" ht="15" x14ac:dyDescent="0.25"/>
    <row r="3059" s="1" customFormat="1" ht="15" x14ac:dyDescent="0.25"/>
    <row r="3060" s="1" customFormat="1" ht="15" x14ac:dyDescent="0.25"/>
    <row r="3061" s="1" customFormat="1" ht="15" x14ac:dyDescent="0.25"/>
    <row r="3062" s="1" customFormat="1" ht="15" x14ac:dyDescent="0.25"/>
    <row r="3063" s="1" customFormat="1" ht="15" x14ac:dyDescent="0.25"/>
    <row r="3064" s="1" customFormat="1" ht="15" x14ac:dyDescent="0.25"/>
    <row r="3065" s="1" customFormat="1" ht="15" x14ac:dyDescent="0.25"/>
    <row r="3066" s="1" customFormat="1" ht="15" x14ac:dyDescent="0.25"/>
    <row r="3067" s="1" customFormat="1" ht="15" x14ac:dyDescent="0.25"/>
    <row r="3068" s="1" customFormat="1" ht="15" x14ac:dyDescent="0.25"/>
    <row r="3069" s="1" customFormat="1" ht="15" x14ac:dyDescent="0.25"/>
    <row r="3070" s="1" customFormat="1" ht="15" x14ac:dyDescent="0.25"/>
    <row r="3071" s="1" customFormat="1" ht="15" x14ac:dyDescent="0.25"/>
    <row r="3072" s="1" customFormat="1" ht="15" x14ac:dyDescent="0.25"/>
    <row r="3073" s="1" customFormat="1" ht="15" x14ac:dyDescent="0.25"/>
    <row r="3074" s="1" customFormat="1" ht="15" x14ac:dyDescent="0.25"/>
    <row r="3075" s="1" customFormat="1" ht="15" x14ac:dyDescent="0.25"/>
    <row r="3076" s="1" customFormat="1" ht="15" x14ac:dyDescent="0.25"/>
    <row r="3077" s="1" customFormat="1" ht="15" x14ac:dyDescent="0.25"/>
    <row r="3078" s="1" customFormat="1" ht="15" x14ac:dyDescent="0.25"/>
    <row r="3079" s="1" customFormat="1" ht="15" x14ac:dyDescent="0.25"/>
    <row r="3080" s="1" customFormat="1" ht="15" x14ac:dyDescent="0.25"/>
    <row r="3081" s="1" customFormat="1" ht="15" x14ac:dyDescent="0.25"/>
    <row r="3082" s="1" customFormat="1" ht="15" x14ac:dyDescent="0.25"/>
    <row r="3083" s="1" customFormat="1" ht="15" x14ac:dyDescent="0.25"/>
    <row r="3084" s="1" customFormat="1" ht="15" x14ac:dyDescent="0.25"/>
    <row r="3085" s="1" customFormat="1" ht="15" x14ac:dyDescent="0.25"/>
    <row r="3086" s="1" customFormat="1" ht="15" x14ac:dyDescent="0.25"/>
    <row r="3087" s="1" customFormat="1" ht="15" x14ac:dyDescent="0.25"/>
    <row r="3088" s="1" customFormat="1" ht="15" x14ac:dyDescent="0.25"/>
    <row r="3089" s="1" customFormat="1" ht="15" x14ac:dyDescent="0.25"/>
    <row r="3090" s="1" customFormat="1" ht="15" x14ac:dyDescent="0.25"/>
    <row r="3091" s="1" customFormat="1" ht="15" x14ac:dyDescent="0.25"/>
    <row r="3092" s="1" customFormat="1" ht="15" x14ac:dyDescent="0.25"/>
    <row r="3093" s="1" customFormat="1" ht="15" x14ac:dyDescent="0.25"/>
    <row r="3094" s="1" customFormat="1" ht="15" x14ac:dyDescent="0.25"/>
    <row r="3095" s="1" customFormat="1" ht="15" x14ac:dyDescent="0.25"/>
    <row r="3096" s="1" customFormat="1" ht="15" x14ac:dyDescent="0.25"/>
    <row r="3097" s="1" customFormat="1" ht="15" x14ac:dyDescent="0.25"/>
    <row r="3098" s="1" customFormat="1" ht="15" x14ac:dyDescent="0.25"/>
    <row r="3099" s="1" customFormat="1" ht="15" x14ac:dyDescent="0.25"/>
    <row r="3100" s="1" customFormat="1" ht="15" x14ac:dyDescent="0.25"/>
    <row r="3101" s="1" customFormat="1" ht="15" x14ac:dyDescent="0.25"/>
    <row r="3102" s="1" customFormat="1" ht="15" x14ac:dyDescent="0.25"/>
    <row r="3103" s="1" customFormat="1" ht="15" x14ac:dyDescent="0.25"/>
    <row r="3104" s="1" customFormat="1" ht="15" x14ac:dyDescent="0.25"/>
    <row r="3105" s="1" customFormat="1" ht="15" x14ac:dyDescent="0.25"/>
    <row r="3106" s="1" customFormat="1" ht="15" x14ac:dyDescent="0.25"/>
    <row r="3107" s="1" customFormat="1" ht="15" x14ac:dyDescent="0.25"/>
    <row r="3108" s="1" customFormat="1" ht="15" x14ac:dyDescent="0.25"/>
    <row r="3109" s="1" customFormat="1" ht="15" x14ac:dyDescent="0.25"/>
    <row r="3110" s="1" customFormat="1" ht="15" x14ac:dyDescent="0.25"/>
    <row r="3111" s="1" customFormat="1" ht="15" x14ac:dyDescent="0.25"/>
    <row r="3112" s="1" customFormat="1" ht="15" x14ac:dyDescent="0.25"/>
    <row r="3113" s="1" customFormat="1" ht="15" x14ac:dyDescent="0.25"/>
    <row r="3114" s="1" customFormat="1" ht="15" x14ac:dyDescent="0.25"/>
    <row r="3115" s="1" customFormat="1" ht="15" x14ac:dyDescent="0.25"/>
    <row r="3116" s="1" customFormat="1" ht="15" x14ac:dyDescent="0.25"/>
    <row r="3117" s="1" customFormat="1" ht="15" x14ac:dyDescent="0.25"/>
    <row r="3118" s="1" customFormat="1" ht="15" x14ac:dyDescent="0.25"/>
    <row r="3119" s="1" customFormat="1" ht="15" x14ac:dyDescent="0.25"/>
    <row r="3120" s="1" customFormat="1" ht="15" x14ac:dyDescent="0.25"/>
    <row r="3121" s="1" customFormat="1" ht="15" x14ac:dyDescent="0.25"/>
    <row r="3122" s="1" customFormat="1" ht="15" x14ac:dyDescent="0.25"/>
    <row r="3123" s="1" customFormat="1" ht="15" x14ac:dyDescent="0.25"/>
    <row r="3124" s="1" customFormat="1" ht="15" x14ac:dyDescent="0.25"/>
    <row r="3125" s="1" customFormat="1" ht="15" x14ac:dyDescent="0.25"/>
    <row r="3126" s="1" customFormat="1" ht="15" x14ac:dyDescent="0.25"/>
    <row r="3127" s="1" customFormat="1" ht="15" x14ac:dyDescent="0.25"/>
    <row r="3128" s="1" customFormat="1" ht="15" x14ac:dyDescent="0.25"/>
    <row r="3129" s="1" customFormat="1" ht="15" x14ac:dyDescent="0.25"/>
    <row r="3130" s="1" customFormat="1" ht="15" x14ac:dyDescent="0.25"/>
    <row r="3131" s="1" customFormat="1" ht="15" x14ac:dyDescent="0.25"/>
    <row r="3132" s="1" customFormat="1" ht="15" x14ac:dyDescent="0.25"/>
    <row r="3133" s="1" customFormat="1" ht="15" x14ac:dyDescent="0.25"/>
    <row r="3134" s="1" customFormat="1" ht="15" x14ac:dyDescent="0.25"/>
    <row r="3135" s="1" customFormat="1" ht="15" x14ac:dyDescent="0.25"/>
    <row r="3136" s="1" customFormat="1" ht="15" x14ac:dyDescent="0.25"/>
    <row r="3137" s="1" customFormat="1" ht="15" x14ac:dyDescent="0.25"/>
    <row r="3138" s="1" customFormat="1" ht="15" x14ac:dyDescent="0.25"/>
    <row r="3139" s="1" customFormat="1" ht="15" x14ac:dyDescent="0.25"/>
    <row r="3140" s="1" customFormat="1" ht="15" x14ac:dyDescent="0.25"/>
    <row r="3141" s="1" customFormat="1" ht="15" x14ac:dyDescent="0.25"/>
    <row r="3142" s="1" customFormat="1" ht="15" x14ac:dyDescent="0.25"/>
    <row r="3143" s="1" customFormat="1" ht="15" x14ac:dyDescent="0.25"/>
    <row r="3144" s="1" customFormat="1" ht="15" x14ac:dyDescent="0.25"/>
    <row r="3145" s="1" customFormat="1" ht="15" x14ac:dyDescent="0.25"/>
    <row r="3146" s="1" customFormat="1" ht="15" x14ac:dyDescent="0.25"/>
    <row r="3147" s="1" customFormat="1" ht="15" x14ac:dyDescent="0.25"/>
    <row r="3148" s="1" customFormat="1" ht="15" x14ac:dyDescent="0.25"/>
    <row r="3149" s="1" customFormat="1" ht="15" x14ac:dyDescent="0.25"/>
    <row r="3150" s="1" customFormat="1" ht="15" x14ac:dyDescent="0.25"/>
    <row r="3151" s="1" customFormat="1" ht="15" x14ac:dyDescent="0.25"/>
    <row r="3152" s="1" customFormat="1" ht="15" x14ac:dyDescent="0.25"/>
    <row r="3153" s="1" customFormat="1" ht="15" x14ac:dyDescent="0.25"/>
    <row r="3154" s="1" customFormat="1" ht="15" x14ac:dyDescent="0.25"/>
    <row r="3155" s="1" customFormat="1" ht="15" x14ac:dyDescent="0.25"/>
    <row r="3156" s="1" customFormat="1" ht="15" x14ac:dyDescent="0.25"/>
    <row r="3157" s="1" customFormat="1" ht="15" x14ac:dyDescent="0.25"/>
    <row r="3158" s="1" customFormat="1" ht="15" x14ac:dyDescent="0.25"/>
    <row r="3159" s="1" customFormat="1" ht="15" x14ac:dyDescent="0.25"/>
    <row r="3160" s="1" customFormat="1" ht="15" x14ac:dyDescent="0.25"/>
    <row r="3161" s="1" customFormat="1" ht="15" x14ac:dyDescent="0.25"/>
    <row r="3162" s="1" customFormat="1" ht="15" x14ac:dyDescent="0.25"/>
    <row r="3163" s="1" customFormat="1" ht="15" x14ac:dyDescent="0.25"/>
    <row r="3164" s="1" customFormat="1" ht="15" x14ac:dyDescent="0.25"/>
    <row r="3165" s="1" customFormat="1" ht="15" x14ac:dyDescent="0.25"/>
    <row r="3166" s="1" customFormat="1" ht="15" x14ac:dyDescent="0.25"/>
    <row r="3167" s="1" customFormat="1" ht="15" x14ac:dyDescent="0.25"/>
    <row r="3168" s="1" customFormat="1" ht="15" x14ac:dyDescent="0.25"/>
    <row r="3169" s="1" customFormat="1" ht="15" x14ac:dyDescent="0.25"/>
    <row r="3170" s="1" customFormat="1" ht="15" x14ac:dyDescent="0.25"/>
    <row r="3171" s="1" customFormat="1" ht="15" x14ac:dyDescent="0.25"/>
    <row r="3172" s="1" customFormat="1" ht="15" x14ac:dyDescent="0.25"/>
    <row r="3173" s="1" customFormat="1" ht="15" x14ac:dyDescent="0.25"/>
    <row r="3174" s="1" customFormat="1" ht="15" x14ac:dyDescent="0.25"/>
    <row r="3175" s="1" customFormat="1" ht="15" x14ac:dyDescent="0.25"/>
    <row r="3176" s="1" customFormat="1" ht="15" x14ac:dyDescent="0.25"/>
    <row r="3177" s="1" customFormat="1" ht="15" x14ac:dyDescent="0.25"/>
    <row r="3178" s="1" customFormat="1" ht="15" x14ac:dyDescent="0.25"/>
    <row r="3179" s="1" customFormat="1" ht="15" x14ac:dyDescent="0.25"/>
    <row r="3180" s="1" customFormat="1" ht="15" x14ac:dyDescent="0.25"/>
    <row r="3181" s="1" customFormat="1" ht="15" x14ac:dyDescent="0.25"/>
    <row r="3182" s="1" customFormat="1" ht="15" x14ac:dyDescent="0.25"/>
    <row r="3183" s="1" customFormat="1" ht="15" x14ac:dyDescent="0.25"/>
    <row r="3184" s="1" customFormat="1" ht="15" x14ac:dyDescent="0.25"/>
    <row r="3185" s="1" customFormat="1" ht="15" x14ac:dyDescent="0.25"/>
    <row r="3186" s="1" customFormat="1" ht="15" x14ac:dyDescent="0.25"/>
    <row r="3187" s="1" customFormat="1" ht="15" x14ac:dyDescent="0.25"/>
    <row r="3188" s="1" customFormat="1" ht="15" x14ac:dyDescent="0.25"/>
    <row r="3189" s="1" customFormat="1" ht="15" x14ac:dyDescent="0.25"/>
    <row r="3190" s="1" customFormat="1" ht="15" x14ac:dyDescent="0.25"/>
    <row r="3191" s="1" customFormat="1" ht="15" x14ac:dyDescent="0.25"/>
    <row r="3192" s="1" customFormat="1" ht="15" x14ac:dyDescent="0.25"/>
    <row r="3193" s="1" customFormat="1" ht="15" x14ac:dyDescent="0.25"/>
    <row r="3194" s="1" customFormat="1" ht="15" x14ac:dyDescent="0.25"/>
    <row r="3195" s="1" customFormat="1" ht="15" x14ac:dyDescent="0.25"/>
    <row r="3196" s="1" customFormat="1" ht="15" x14ac:dyDescent="0.25"/>
    <row r="3197" s="1" customFormat="1" ht="15" x14ac:dyDescent="0.25"/>
    <row r="3198" s="1" customFormat="1" ht="15" x14ac:dyDescent="0.25"/>
    <row r="3199" s="1" customFormat="1" ht="15" x14ac:dyDescent="0.25"/>
    <row r="3200" s="1" customFormat="1" ht="15" x14ac:dyDescent="0.25"/>
    <row r="3201" s="1" customFormat="1" ht="15" x14ac:dyDescent="0.25"/>
    <row r="3202" s="1" customFormat="1" ht="15" x14ac:dyDescent="0.25"/>
    <row r="3203" s="1" customFormat="1" ht="15" x14ac:dyDescent="0.25"/>
    <row r="3204" s="1" customFormat="1" ht="15" x14ac:dyDescent="0.25"/>
    <row r="3205" s="1" customFormat="1" ht="15" x14ac:dyDescent="0.25"/>
    <row r="3206" s="1" customFormat="1" ht="15" x14ac:dyDescent="0.25"/>
    <row r="3207" s="1" customFormat="1" ht="15" x14ac:dyDescent="0.25"/>
    <row r="3208" s="1" customFormat="1" ht="15" x14ac:dyDescent="0.25"/>
    <row r="3209" s="1" customFormat="1" ht="15" x14ac:dyDescent="0.25"/>
    <row r="3210" s="1" customFormat="1" ht="15" x14ac:dyDescent="0.25"/>
    <row r="3211" s="1" customFormat="1" ht="15" x14ac:dyDescent="0.25"/>
    <row r="3212" s="1" customFormat="1" ht="15" x14ac:dyDescent="0.25"/>
    <row r="3213" s="1" customFormat="1" ht="15" x14ac:dyDescent="0.25"/>
    <row r="3214" s="1" customFormat="1" ht="15" x14ac:dyDescent="0.25"/>
    <row r="3215" s="1" customFormat="1" ht="15" x14ac:dyDescent="0.25"/>
    <row r="3216" s="1" customFormat="1" ht="15" x14ac:dyDescent="0.25"/>
    <row r="3217" s="1" customFormat="1" ht="15" x14ac:dyDescent="0.25"/>
    <row r="3218" s="1" customFormat="1" ht="15" x14ac:dyDescent="0.25"/>
    <row r="3219" s="1" customFormat="1" ht="15" x14ac:dyDescent="0.25"/>
    <row r="3220" s="1" customFormat="1" ht="15" x14ac:dyDescent="0.25"/>
    <row r="3221" s="1" customFormat="1" ht="15" x14ac:dyDescent="0.25"/>
    <row r="3222" s="1" customFormat="1" ht="15" x14ac:dyDescent="0.25"/>
    <row r="3223" s="1" customFormat="1" ht="15" x14ac:dyDescent="0.25"/>
    <row r="3224" s="1" customFormat="1" ht="15" x14ac:dyDescent="0.25"/>
    <row r="3225" s="1" customFormat="1" ht="15" x14ac:dyDescent="0.25"/>
    <row r="3226" s="1" customFormat="1" ht="15" x14ac:dyDescent="0.25"/>
    <row r="3227" s="1" customFormat="1" ht="15" x14ac:dyDescent="0.25"/>
    <row r="3228" s="1" customFormat="1" ht="15" x14ac:dyDescent="0.25"/>
    <row r="3229" s="1" customFormat="1" ht="15" x14ac:dyDescent="0.25"/>
    <row r="3230" s="1" customFormat="1" ht="15" x14ac:dyDescent="0.25"/>
    <row r="3231" s="1" customFormat="1" ht="15" x14ac:dyDescent="0.25"/>
    <row r="3232" s="1" customFormat="1" ht="15" x14ac:dyDescent="0.25"/>
    <row r="3233" s="1" customFormat="1" ht="15" x14ac:dyDescent="0.25"/>
    <row r="3234" s="1" customFormat="1" ht="15" x14ac:dyDescent="0.25"/>
    <row r="3235" s="1" customFormat="1" ht="15" x14ac:dyDescent="0.25"/>
    <row r="3236" s="1" customFormat="1" ht="15" x14ac:dyDescent="0.25"/>
    <row r="3237" s="1" customFormat="1" ht="15" x14ac:dyDescent="0.25"/>
    <row r="3238" s="1" customFormat="1" ht="15" x14ac:dyDescent="0.25"/>
    <row r="3239" s="1" customFormat="1" ht="15" x14ac:dyDescent="0.25"/>
    <row r="3240" s="1" customFormat="1" ht="15" x14ac:dyDescent="0.25"/>
    <row r="3241" s="1" customFormat="1" ht="15" x14ac:dyDescent="0.25"/>
    <row r="3242" s="1" customFormat="1" ht="15" x14ac:dyDescent="0.25"/>
    <row r="3243" s="1" customFormat="1" ht="15" x14ac:dyDescent="0.25"/>
    <row r="3244" s="1" customFormat="1" ht="15" x14ac:dyDescent="0.25"/>
    <row r="3245" s="1" customFormat="1" ht="15" x14ac:dyDescent="0.25"/>
    <row r="3246" s="1" customFormat="1" ht="15" x14ac:dyDescent="0.25"/>
    <row r="3247" s="1" customFormat="1" ht="15" x14ac:dyDescent="0.25"/>
    <row r="3248" s="1" customFormat="1" ht="15" x14ac:dyDescent="0.25"/>
    <row r="3249" s="1" customFormat="1" ht="15" x14ac:dyDescent="0.25"/>
    <row r="3250" s="1" customFormat="1" ht="15" x14ac:dyDescent="0.25"/>
    <row r="3251" s="1" customFormat="1" ht="15" x14ac:dyDescent="0.25"/>
    <row r="3252" s="1" customFormat="1" ht="15" x14ac:dyDescent="0.25"/>
    <row r="3253" s="1" customFormat="1" ht="15" x14ac:dyDescent="0.25"/>
    <row r="3254" s="1" customFormat="1" ht="15" x14ac:dyDescent="0.25"/>
    <row r="3255" s="1" customFormat="1" ht="15" x14ac:dyDescent="0.25"/>
    <row r="3256" s="1" customFormat="1" ht="15" x14ac:dyDescent="0.25"/>
    <row r="3257" s="1" customFormat="1" ht="15" x14ac:dyDescent="0.25"/>
    <row r="3258" s="1" customFormat="1" ht="15" x14ac:dyDescent="0.25"/>
    <row r="3259" s="1" customFormat="1" ht="15" x14ac:dyDescent="0.25"/>
    <row r="3260" s="1" customFormat="1" ht="15" x14ac:dyDescent="0.25"/>
    <row r="3261" s="1" customFormat="1" ht="15" x14ac:dyDescent="0.25"/>
    <row r="3262" s="1" customFormat="1" ht="15" x14ac:dyDescent="0.25"/>
    <row r="3263" s="1" customFormat="1" ht="15" x14ac:dyDescent="0.25"/>
    <row r="3264" s="1" customFormat="1" ht="15" x14ac:dyDescent="0.25"/>
    <row r="3265" s="1" customFormat="1" ht="15" x14ac:dyDescent="0.25"/>
    <row r="3266" s="1" customFormat="1" ht="15" x14ac:dyDescent="0.25"/>
    <row r="3267" s="1" customFormat="1" ht="15" x14ac:dyDescent="0.25"/>
    <row r="3268" s="1" customFormat="1" ht="15" x14ac:dyDescent="0.25"/>
    <row r="3269" s="1" customFormat="1" ht="15" x14ac:dyDescent="0.25"/>
    <row r="3270" s="1" customFormat="1" ht="15" x14ac:dyDescent="0.25"/>
    <row r="3271" s="1" customFormat="1" ht="15" x14ac:dyDescent="0.25"/>
    <row r="3272" s="1" customFormat="1" ht="15" x14ac:dyDescent="0.25"/>
    <row r="3273" s="1" customFormat="1" ht="15" x14ac:dyDescent="0.25"/>
    <row r="3274" s="1" customFormat="1" ht="15" x14ac:dyDescent="0.25"/>
    <row r="3275" s="1" customFormat="1" ht="15" x14ac:dyDescent="0.25"/>
    <row r="3276" s="1" customFormat="1" ht="15" x14ac:dyDescent="0.25"/>
    <row r="3277" s="1" customFormat="1" ht="15" x14ac:dyDescent="0.25"/>
    <row r="3278" s="1" customFormat="1" ht="15" x14ac:dyDescent="0.25"/>
    <row r="3279" s="1" customFormat="1" ht="15" x14ac:dyDescent="0.25"/>
    <row r="3280" s="1" customFormat="1" ht="15" x14ac:dyDescent="0.25"/>
    <row r="3281" s="1" customFormat="1" ht="15" x14ac:dyDescent="0.25"/>
    <row r="3282" s="1" customFormat="1" ht="15" x14ac:dyDescent="0.25"/>
    <row r="3283" s="1" customFormat="1" ht="15" x14ac:dyDescent="0.25"/>
    <row r="3284" s="1" customFormat="1" ht="15" x14ac:dyDescent="0.25"/>
    <row r="3285" s="1" customFormat="1" ht="15" x14ac:dyDescent="0.25"/>
    <row r="3286" s="1" customFormat="1" ht="15" x14ac:dyDescent="0.25"/>
    <row r="3287" s="1" customFormat="1" ht="15" x14ac:dyDescent="0.25"/>
    <row r="3288" s="1" customFormat="1" ht="15" x14ac:dyDescent="0.25"/>
    <row r="3289" s="1" customFormat="1" ht="15" x14ac:dyDescent="0.25"/>
    <row r="3290" s="1" customFormat="1" ht="15" x14ac:dyDescent="0.25"/>
    <row r="3291" s="1" customFormat="1" ht="15" x14ac:dyDescent="0.25"/>
    <row r="3292" s="1" customFormat="1" ht="15" x14ac:dyDescent="0.25"/>
    <row r="3293" s="1" customFormat="1" ht="15" x14ac:dyDescent="0.25"/>
    <row r="3294" s="1" customFormat="1" ht="15" x14ac:dyDescent="0.25"/>
    <row r="3295" s="1" customFormat="1" ht="15" x14ac:dyDescent="0.25"/>
    <row r="3296" s="1" customFormat="1" ht="15" x14ac:dyDescent="0.25"/>
    <row r="3297" s="1" customFormat="1" ht="15" x14ac:dyDescent="0.25"/>
    <row r="3298" s="1" customFormat="1" ht="15" x14ac:dyDescent="0.25"/>
    <row r="3299" s="1" customFormat="1" ht="15" x14ac:dyDescent="0.25"/>
    <row r="3300" s="1" customFormat="1" ht="15" x14ac:dyDescent="0.25"/>
    <row r="3301" s="1" customFormat="1" ht="15" x14ac:dyDescent="0.25"/>
    <row r="3302" s="1" customFormat="1" ht="15" x14ac:dyDescent="0.25"/>
    <row r="3303" s="1" customFormat="1" ht="15" x14ac:dyDescent="0.25"/>
    <row r="3304" s="1" customFormat="1" ht="15" x14ac:dyDescent="0.25"/>
    <row r="3305" s="1" customFormat="1" ht="15" x14ac:dyDescent="0.25"/>
    <row r="3306" s="1" customFormat="1" ht="15" x14ac:dyDescent="0.25"/>
    <row r="3307" s="1" customFormat="1" ht="15" x14ac:dyDescent="0.25"/>
    <row r="3308" s="1" customFormat="1" ht="15" x14ac:dyDescent="0.25"/>
    <row r="3309" s="1" customFormat="1" ht="15" x14ac:dyDescent="0.25"/>
    <row r="3310" s="1" customFormat="1" ht="15" x14ac:dyDescent="0.25"/>
    <row r="3311" s="1" customFormat="1" ht="15" x14ac:dyDescent="0.25"/>
    <row r="3312" s="1" customFormat="1" ht="15" x14ac:dyDescent="0.25"/>
    <row r="3313" s="1" customFormat="1" ht="15" x14ac:dyDescent="0.25"/>
    <row r="3314" s="1" customFormat="1" ht="15" x14ac:dyDescent="0.25"/>
    <row r="3315" s="1" customFormat="1" ht="15" x14ac:dyDescent="0.25"/>
    <row r="3316" s="1" customFormat="1" ht="15" x14ac:dyDescent="0.25"/>
    <row r="3317" s="1" customFormat="1" ht="15" x14ac:dyDescent="0.25"/>
    <row r="3318" s="1" customFormat="1" ht="15" x14ac:dyDescent="0.25"/>
    <row r="3319" s="1" customFormat="1" ht="15" x14ac:dyDescent="0.25"/>
    <row r="3320" s="1" customFormat="1" ht="15" x14ac:dyDescent="0.25"/>
    <row r="3321" s="1" customFormat="1" ht="15" x14ac:dyDescent="0.25"/>
    <row r="3322" s="1" customFormat="1" ht="15" x14ac:dyDescent="0.25"/>
    <row r="3323" s="1" customFormat="1" ht="15" x14ac:dyDescent="0.25"/>
    <row r="3324" s="1" customFormat="1" ht="15" x14ac:dyDescent="0.25"/>
    <row r="3325" s="1" customFormat="1" ht="15" x14ac:dyDescent="0.25"/>
    <row r="3326" s="1" customFormat="1" ht="15" x14ac:dyDescent="0.25"/>
    <row r="3327" s="1" customFormat="1" ht="15" x14ac:dyDescent="0.25"/>
    <row r="3328" s="1" customFormat="1" ht="15" x14ac:dyDescent="0.25"/>
    <row r="3329" s="1" customFormat="1" ht="15" x14ac:dyDescent="0.25"/>
    <row r="3330" s="1" customFormat="1" ht="15" x14ac:dyDescent="0.25"/>
    <row r="3331" s="1" customFormat="1" ht="15" x14ac:dyDescent="0.25"/>
    <row r="3332" s="1" customFormat="1" ht="15" x14ac:dyDescent="0.25"/>
    <row r="3333" s="1" customFormat="1" ht="15" x14ac:dyDescent="0.25"/>
    <row r="3334" s="1" customFormat="1" ht="15" x14ac:dyDescent="0.25"/>
    <row r="3335" s="1" customFormat="1" ht="15" x14ac:dyDescent="0.25"/>
    <row r="3336" s="1" customFormat="1" ht="15" x14ac:dyDescent="0.25"/>
    <row r="3337" s="1" customFormat="1" ht="15" x14ac:dyDescent="0.25"/>
    <row r="3338" s="1" customFormat="1" ht="15" x14ac:dyDescent="0.25"/>
    <row r="3339" s="1" customFormat="1" ht="15" x14ac:dyDescent="0.25"/>
    <row r="3340" s="1" customFormat="1" ht="15" x14ac:dyDescent="0.25"/>
    <row r="3341" s="1" customFormat="1" ht="15" x14ac:dyDescent="0.25"/>
    <row r="3342" s="1" customFormat="1" ht="15" x14ac:dyDescent="0.25"/>
    <row r="3343" s="1" customFormat="1" ht="15" x14ac:dyDescent="0.25"/>
    <row r="3344" s="1" customFormat="1" ht="15" x14ac:dyDescent="0.25"/>
    <row r="3345" s="1" customFormat="1" ht="15" x14ac:dyDescent="0.25"/>
    <row r="3346" s="1" customFormat="1" ht="15" x14ac:dyDescent="0.25"/>
    <row r="3347" s="1" customFormat="1" ht="15" x14ac:dyDescent="0.25"/>
    <row r="3348" s="1" customFormat="1" ht="15" x14ac:dyDescent="0.25"/>
    <row r="3349" s="1" customFormat="1" ht="15" x14ac:dyDescent="0.25"/>
    <row r="3350" s="1" customFormat="1" ht="15" x14ac:dyDescent="0.25"/>
    <row r="3351" s="1" customFormat="1" ht="15" x14ac:dyDescent="0.25"/>
    <row r="3352" s="1" customFormat="1" ht="15" x14ac:dyDescent="0.25"/>
    <row r="3353" s="1" customFormat="1" ht="15" x14ac:dyDescent="0.25"/>
    <row r="3354" s="1" customFormat="1" ht="15" x14ac:dyDescent="0.25"/>
    <row r="3355" s="1" customFormat="1" ht="15" x14ac:dyDescent="0.25"/>
    <row r="3356" s="1" customFormat="1" ht="15" x14ac:dyDescent="0.25"/>
    <row r="3357" s="1" customFormat="1" ht="15" x14ac:dyDescent="0.25"/>
    <row r="3358" s="1" customFormat="1" ht="15" x14ac:dyDescent="0.25"/>
    <row r="3359" s="1" customFormat="1" ht="15" x14ac:dyDescent="0.25"/>
    <row r="3360" s="1" customFormat="1" ht="15" x14ac:dyDescent="0.25"/>
    <row r="3361" s="1" customFormat="1" ht="15" x14ac:dyDescent="0.25"/>
    <row r="3362" s="1" customFormat="1" ht="15" x14ac:dyDescent="0.25"/>
    <row r="3363" s="1" customFormat="1" ht="15" x14ac:dyDescent="0.25"/>
    <row r="3364" s="1" customFormat="1" ht="15" x14ac:dyDescent="0.25"/>
    <row r="3365" s="1" customFormat="1" ht="15" x14ac:dyDescent="0.25"/>
    <row r="3366" s="1" customFormat="1" ht="15" x14ac:dyDescent="0.25"/>
    <row r="3367" s="1" customFormat="1" ht="15" x14ac:dyDescent="0.25"/>
    <row r="3368" s="1" customFormat="1" ht="15" x14ac:dyDescent="0.25"/>
    <row r="3369" s="1" customFormat="1" ht="15" x14ac:dyDescent="0.25"/>
    <row r="3370" s="1" customFormat="1" ht="15" x14ac:dyDescent="0.25"/>
    <row r="3371" s="1" customFormat="1" ht="15" x14ac:dyDescent="0.25"/>
    <row r="3372" s="1" customFormat="1" ht="15" x14ac:dyDescent="0.25"/>
    <row r="3373" s="1" customFormat="1" ht="15" x14ac:dyDescent="0.25"/>
    <row r="3374" s="1" customFormat="1" ht="15" x14ac:dyDescent="0.25"/>
    <row r="3375" s="1" customFormat="1" ht="15" x14ac:dyDescent="0.25"/>
    <row r="3376" s="1" customFormat="1" ht="15" x14ac:dyDescent="0.25"/>
    <row r="3377" s="1" customFormat="1" ht="15" x14ac:dyDescent="0.25"/>
    <row r="3378" s="1" customFormat="1" ht="15" x14ac:dyDescent="0.25"/>
    <row r="3379" s="1" customFormat="1" ht="15" x14ac:dyDescent="0.25"/>
    <row r="3380" s="1" customFormat="1" ht="15" x14ac:dyDescent="0.25"/>
    <row r="3381" s="1" customFormat="1" ht="15" x14ac:dyDescent="0.25"/>
    <row r="3382" s="1" customFormat="1" ht="15" x14ac:dyDescent="0.25"/>
    <row r="3383" s="1" customFormat="1" ht="15" x14ac:dyDescent="0.25"/>
    <row r="3384" s="1" customFormat="1" ht="15" x14ac:dyDescent="0.25"/>
    <row r="3385" s="1" customFormat="1" ht="15" x14ac:dyDescent="0.25"/>
    <row r="3386" s="1" customFormat="1" ht="15" x14ac:dyDescent="0.25"/>
    <row r="3387" s="1" customFormat="1" ht="15" x14ac:dyDescent="0.25"/>
    <row r="3388" s="1" customFormat="1" ht="15" x14ac:dyDescent="0.25"/>
    <row r="3389" s="1" customFormat="1" ht="15" x14ac:dyDescent="0.25"/>
    <row r="3390" s="1" customFormat="1" ht="15" x14ac:dyDescent="0.25"/>
    <row r="3391" s="1" customFormat="1" ht="15" x14ac:dyDescent="0.25"/>
    <row r="3392" s="1" customFormat="1" ht="15" x14ac:dyDescent="0.25"/>
    <row r="3393" s="1" customFormat="1" ht="15" x14ac:dyDescent="0.25"/>
    <row r="3394" s="1" customFormat="1" ht="15" x14ac:dyDescent="0.25"/>
    <row r="3395" s="1" customFormat="1" ht="15" x14ac:dyDescent="0.25"/>
    <row r="3396" s="1" customFormat="1" ht="15" x14ac:dyDescent="0.25"/>
    <row r="3397" s="1" customFormat="1" ht="15" x14ac:dyDescent="0.25"/>
    <row r="3398" s="1" customFormat="1" ht="15" x14ac:dyDescent="0.25"/>
    <row r="3399" s="1" customFormat="1" ht="15" x14ac:dyDescent="0.25"/>
    <row r="3400" s="1" customFormat="1" ht="15" x14ac:dyDescent="0.25"/>
    <row r="3401" s="1" customFormat="1" ht="15" x14ac:dyDescent="0.25"/>
    <row r="3402" s="1" customFormat="1" ht="15" x14ac:dyDescent="0.25"/>
    <row r="3403" s="1" customFormat="1" ht="15" x14ac:dyDescent="0.25"/>
    <row r="3404" s="1" customFormat="1" ht="15" x14ac:dyDescent="0.25"/>
    <row r="3405" s="1" customFormat="1" ht="15" x14ac:dyDescent="0.25"/>
    <row r="3406" s="1" customFormat="1" ht="15" x14ac:dyDescent="0.25"/>
    <row r="3407" s="1" customFormat="1" ht="15" x14ac:dyDescent="0.25"/>
    <row r="3408" s="1" customFormat="1" ht="15" x14ac:dyDescent="0.25"/>
    <row r="3409" s="1" customFormat="1" ht="15" x14ac:dyDescent="0.25"/>
    <row r="3410" s="1" customFormat="1" ht="15" x14ac:dyDescent="0.25"/>
    <row r="3411" s="1" customFormat="1" ht="15" x14ac:dyDescent="0.25"/>
    <row r="3412" s="1" customFormat="1" ht="15" x14ac:dyDescent="0.25"/>
    <row r="3413" s="1" customFormat="1" ht="15" x14ac:dyDescent="0.25"/>
    <row r="3414" s="1" customFormat="1" ht="15" x14ac:dyDescent="0.25"/>
    <row r="3415" s="1" customFormat="1" ht="15" x14ac:dyDescent="0.25"/>
    <row r="3416" s="1" customFormat="1" ht="15" x14ac:dyDescent="0.25"/>
    <row r="3417" s="1" customFormat="1" ht="15" x14ac:dyDescent="0.25"/>
    <row r="3418" s="1" customFormat="1" ht="15" x14ac:dyDescent="0.25"/>
    <row r="3419" s="1" customFormat="1" ht="15" x14ac:dyDescent="0.25"/>
    <row r="3420" s="1" customFormat="1" ht="15" x14ac:dyDescent="0.25"/>
    <row r="3421" s="1" customFormat="1" ht="15" x14ac:dyDescent="0.25"/>
    <row r="3422" s="1" customFormat="1" ht="15" x14ac:dyDescent="0.25"/>
    <row r="3423" s="1" customFormat="1" ht="15" x14ac:dyDescent="0.25"/>
    <row r="3424" s="1" customFormat="1" ht="15" x14ac:dyDescent="0.25"/>
    <row r="3425" s="1" customFormat="1" ht="15" x14ac:dyDescent="0.25"/>
    <row r="3426" s="1" customFormat="1" ht="15" x14ac:dyDescent="0.25"/>
    <row r="3427" s="1" customFormat="1" ht="15" x14ac:dyDescent="0.25"/>
    <row r="3428" s="1" customFormat="1" ht="15" x14ac:dyDescent="0.25"/>
    <row r="3429" s="1" customFormat="1" ht="15" x14ac:dyDescent="0.25"/>
    <row r="3430" s="1" customFormat="1" ht="15" x14ac:dyDescent="0.25"/>
    <row r="3431" s="1" customFormat="1" ht="15" x14ac:dyDescent="0.25"/>
    <row r="3432" s="1" customFormat="1" ht="15" x14ac:dyDescent="0.25"/>
    <row r="3433" s="1" customFormat="1" ht="15" x14ac:dyDescent="0.25"/>
    <row r="3434" s="1" customFormat="1" ht="15" x14ac:dyDescent="0.25"/>
    <row r="3435" s="1" customFormat="1" ht="15" x14ac:dyDescent="0.25"/>
    <row r="3436" s="1" customFormat="1" ht="15" x14ac:dyDescent="0.25"/>
    <row r="3437" s="1" customFormat="1" ht="15" x14ac:dyDescent="0.25"/>
    <row r="3438" s="1" customFormat="1" ht="15" x14ac:dyDescent="0.25"/>
    <row r="3439" s="1" customFormat="1" ht="15" x14ac:dyDescent="0.25"/>
    <row r="3440" s="1" customFormat="1" ht="15" x14ac:dyDescent="0.25"/>
    <row r="3441" s="1" customFormat="1" ht="15" x14ac:dyDescent="0.25"/>
    <row r="3442" s="1" customFormat="1" ht="15" x14ac:dyDescent="0.25"/>
    <row r="3443" s="1" customFormat="1" ht="15" x14ac:dyDescent="0.25"/>
    <row r="3444" s="1" customFormat="1" ht="15" x14ac:dyDescent="0.25"/>
    <row r="3445" s="1" customFormat="1" ht="15" x14ac:dyDescent="0.25"/>
    <row r="3446" s="1" customFormat="1" ht="15" x14ac:dyDescent="0.25"/>
    <row r="3447" s="1" customFormat="1" ht="15" x14ac:dyDescent="0.25"/>
    <row r="3448" s="1" customFormat="1" ht="15" x14ac:dyDescent="0.25"/>
    <row r="3449" s="1" customFormat="1" ht="15" x14ac:dyDescent="0.25"/>
    <row r="3450" s="1" customFormat="1" ht="15" x14ac:dyDescent="0.25"/>
    <row r="3451" s="1" customFormat="1" ht="15" x14ac:dyDescent="0.25"/>
    <row r="3452" s="1" customFormat="1" ht="15" x14ac:dyDescent="0.25"/>
    <row r="3453" s="1" customFormat="1" ht="15" x14ac:dyDescent="0.25"/>
    <row r="3454" s="1" customFormat="1" ht="15" x14ac:dyDescent="0.25"/>
    <row r="3455" s="1" customFormat="1" ht="15" x14ac:dyDescent="0.25"/>
    <row r="3456" s="1" customFormat="1" ht="15" x14ac:dyDescent="0.25"/>
    <row r="3457" s="1" customFormat="1" ht="15" x14ac:dyDescent="0.25"/>
    <row r="3458" s="1" customFormat="1" ht="15" x14ac:dyDescent="0.25"/>
    <row r="3459" s="1" customFormat="1" ht="15" x14ac:dyDescent="0.25"/>
    <row r="3460" s="1" customFormat="1" ht="15" x14ac:dyDescent="0.25"/>
    <row r="3461" s="1" customFormat="1" ht="15" x14ac:dyDescent="0.25"/>
    <row r="3462" s="1" customFormat="1" ht="15" x14ac:dyDescent="0.25"/>
    <row r="3463" s="1" customFormat="1" ht="15" x14ac:dyDescent="0.25"/>
    <row r="3464" s="1" customFormat="1" ht="15" x14ac:dyDescent="0.25"/>
    <row r="3465" s="1" customFormat="1" ht="15" x14ac:dyDescent="0.25"/>
    <row r="3466" s="1" customFormat="1" ht="15" x14ac:dyDescent="0.25"/>
    <row r="3467" s="1" customFormat="1" ht="15" x14ac:dyDescent="0.25"/>
    <row r="3468" s="1" customFormat="1" ht="15" x14ac:dyDescent="0.25"/>
    <row r="3469" s="1" customFormat="1" ht="15" x14ac:dyDescent="0.25"/>
    <row r="3470" s="1" customFormat="1" ht="15" x14ac:dyDescent="0.25"/>
    <row r="3471" s="1" customFormat="1" ht="15" x14ac:dyDescent="0.25"/>
    <row r="3472" s="1" customFormat="1" ht="15" x14ac:dyDescent="0.25"/>
    <row r="3473" s="1" customFormat="1" ht="15" x14ac:dyDescent="0.25"/>
    <row r="3474" s="1" customFormat="1" ht="15" x14ac:dyDescent="0.25"/>
    <row r="3475" s="1" customFormat="1" ht="15" x14ac:dyDescent="0.25"/>
    <row r="3476" s="1" customFormat="1" ht="15" x14ac:dyDescent="0.25"/>
    <row r="3477" s="1" customFormat="1" ht="15" x14ac:dyDescent="0.25"/>
    <row r="3478" s="1" customFormat="1" ht="15" x14ac:dyDescent="0.25"/>
    <row r="3479" s="1" customFormat="1" ht="15" x14ac:dyDescent="0.25"/>
    <row r="3480" s="1" customFormat="1" ht="15" x14ac:dyDescent="0.25"/>
    <row r="3481" s="1" customFormat="1" ht="15" x14ac:dyDescent="0.25"/>
    <row r="3482" s="1" customFormat="1" ht="15" x14ac:dyDescent="0.25"/>
    <row r="3483" s="1" customFormat="1" ht="15" x14ac:dyDescent="0.25"/>
    <row r="3484" s="1" customFormat="1" ht="15" x14ac:dyDescent="0.25"/>
    <row r="3485" s="1" customFormat="1" ht="15" x14ac:dyDescent="0.25"/>
    <row r="3486" s="1" customFormat="1" ht="15" x14ac:dyDescent="0.25"/>
    <row r="3487" s="1" customFormat="1" ht="15" x14ac:dyDescent="0.25"/>
    <row r="3488" s="1" customFormat="1" ht="15" x14ac:dyDescent="0.25"/>
    <row r="3489" s="1" customFormat="1" ht="15" x14ac:dyDescent="0.25"/>
    <row r="3490" s="1" customFormat="1" ht="15" x14ac:dyDescent="0.25"/>
    <row r="3491" s="1" customFormat="1" ht="15" x14ac:dyDescent="0.25"/>
    <row r="3492" s="1" customFormat="1" ht="15" x14ac:dyDescent="0.25"/>
    <row r="3493" s="1" customFormat="1" ht="15" x14ac:dyDescent="0.25"/>
    <row r="3494" s="1" customFormat="1" ht="15" x14ac:dyDescent="0.25"/>
    <row r="3495" s="1" customFormat="1" ht="15" x14ac:dyDescent="0.25"/>
    <row r="3496" s="1" customFormat="1" ht="15" x14ac:dyDescent="0.25"/>
    <row r="3497" s="1" customFormat="1" ht="15" x14ac:dyDescent="0.25"/>
    <row r="3498" s="1" customFormat="1" ht="15" x14ac:dyDescent="0.25"/>
    <row r="3499" s="1" customFormat="1" ht="15" x14ac:dyDescent="0.25"/>
    <row r="3500" s="1" customFormat="1" ht="15" x14ac:dyDescent="0.25"/>
    <row r="3501" s="1" customFormat="1" ht="15" x14ac:dyDescent="0.25"/>
    <row r="3502" s="1" customFormat="1" ht="15" x14ac:dyDescent="0.25"/>
    <row r="3503" s="1" customFormat="1" ht="15" x14ac:dyDescent="0.25"/>
    <row r="3504" s="1" customFormat="1" ht="15" x14ac:dyDescent="0.25"/>
    <row r="3505" s="1" customFormat="1" ht="15" x14ac:dyDescent="0.25"/>
    <row r="3506" s="1" customFormat="1" ht="15" x14ac:dyDescent="0.25"/>
    <row r="3507" s="1" customFormat="1" ht="15" x14ac:dyDescent="0.25"/>
    <row r="3508" s="1" customFormat="1" ht="15" x14ac:dyDescent="0.25"/>
    <row r="3509" s="1" customFormat="1" ht="15" x14ac:dyDescent="0.25"/>
    <row r="3510" s="1" customFormat="1" ht="15" x14ac:dyDescent="0.25"/>
    <row r="3511" s="1" customFormat="1" ht="15" x14ac:dyDescent="0.25"/>
    <row r="3512" s="1" customFormat="1" ht="15" x14ac:dyDescent="0.25"/>
    <row r="3513" s="1" customFormat="1" ht="15" x14ac:dyDescent="0.25"/>
    <row r="3514" s="1" customFormat="1" ht="15" x14ac:dyDescent="0.25"/>
    <row r="3515" s="1" customFormat="1" ht="15" x14ac:dyDescent="0.25"/>
    <row r="3516" s="1" customFormat="1" ht="15" x14ac:dyDescent="0.25"/>
    <row r="3517" s="1" customFormat="1" ht="15" x14ac:dyDescent="0.25"/>
    <row r="3518" s="1" customFormat="1" ht="15" x14ac:dyDescent="0.25"/>
    <row r="3519" s="1" customFormat="1" ht="15" x14ac:dyDescent="0.25"/>
    <row r="3520" s="1" customFormat="1" ht="15" x14ac:dyDescent="0.25"/>
    <row r="3521" s="1" customFormat="1" ht="15" x14ac:dyDescent="0.25"/>
    <row r="3522" s="1" customFormat="1" ht="15" x14ac:dyDescent="0.25"/>
    <row r="3523" s="1" customFormat="1" ht="15" x14ac:dyDescent="0.25"/>
    <row r="3524" s="1" customFormat="1" ht="15" x14ac:dyDescent="0.25"/>
    <row r="3525" s="1" customFormat="1" ht="15" x14ac:dyDescent="0.25"/>
    <row r="3526" s="1" customFormat="1" ht="15" x14ac:dyDescent="0.25"/>
    <row r="3527" s="1" customFormat="1" ht="15" x14ac:dyDescent="0.25"/>
    <row r="3528" s="1" customFormat="1" ht="15" x14ac:dyDescent="0.25"/>
    <row r="3529" s="1" customFormat="1" ht="15" x14ac:dyDescent="0.25"/>
    <row r="3530" s="1" customFormat="1" ht="15" x14ac:dyDescent="0.25"/>
    <row r="3531" s="1" customFormat="1" ht="15" x14ac:dyDescent="0.25"/>
    <row r="3532" s="1" customFormat="1" ht="15" x14ac:dyDescent="0.25"/>
    <row r="3533" s="1" customFormat="1" ht="15" x14ac:dyDescent="0.25"/>
    <row r="3534" s="1" customFormat="1" ht="15" x14ac:dyDescent="0.25"/>
    <row r="3535" s="1" customFormat="1" ht="15" x14ac:dyDescent="0.25"/>
    <row r="3536" s="1" customFormat="1" ht="15" x14ac:dyDescent="0.25"/>
    <row r="3537" s="1" customFormat="1" ht="15" x14ac:dyDescent="0.25"/>
    <row r="3538" s="1" customFormat="1" ht="15" x14ac:dyDescent="0.25"/>
    <row r="3539" s="1" customFormat="1" ht="15" x14ac:dyDescent="0.25"/>
    <row r="3540" s="1" customFormat="1" ht="15" x14ac:dyDescent="0.25"/>
    <row r="3541" s="1" customFormat="1" ht="15" x14ac:dyDescent="0.25"/>
    <row r="3542" s="1" customFormat="1" ht="15" x14ac:dyDescent="0.25"/>
    <row r="3543" s="1" customFormat="1" ht="15" x14ac:dyDescent="0.25"/>
    <row r="3544" s="1" customFormat="1" ht="15" x14ac:dyDescent="0.25"/>
    <row r="3545" s="1" customFormat="1" ht="15" x14ac:dyDescent="0.25"/>
    <row r="3546" s="1" customFormat="1" ht="15" x14ac:dyDescent="0.25"/>
    <row r="3547" s="1" customFormat="1" ht="15" x14ac:dyDescent="0.25"/>
    <row r="3548" s="1" customFormat="1" ht="15" x14ac:dyDescent="0.25"/>
    <row r="3549" s="1" customFormat="1" ht="15" x14ac:dyDescent="0.25"/>
    <row r="3550" s="1" customFormat="1" ht="15" x14ac:dyDescent="0.25"/>
    <row r="3551" s="1" customFormat="1" ht="15" x14ac:dyDescent="0.25"/>
    <row r="3552" s="1" customFormat="1" ht="15" x14ac:dyDescent="0.25"/>
    <row r="3553" s="1" customFormat="1" ht="15" x14ac:dyDescent="0.25"/>
    <row r="3554" s="1" customFormat="1" ht="15" x14ac:dyDescent="0.25"/>
    <row r="3555" s="1" customFormat="1" ht="15" x14ac:dyDescent="0.25"/>
    <row r="3556" s="1" customFormat="1" ht="15" x14ac:dyDescent="0.25"/>
    <row r="3557" s="1" customFormat="1" ht="15" x14ac:dyDescent="0.25"/>
    <row r="3558" s="1" customFormat="1" ht="15" x14ac:dyDescent="0.25"/>
    <row r="3559" s="1" customFormat="1" ht="15" x14ac:dyDescent="0.25"/>
    <row r="3560" s="1" customFormat="1" ht="15" x14ac:dyDescent="0.25"/>
    <row r="3561" s="1" customFormat="1" ht="15" x14ac:dyDescent="0.25"/>
    <row r="3562" s="1" customFormat="1" ht="15" x14ac:dyDescent="0.25"/>
    <row r="3563" s="1" customFormat="1" ht="15" x14ac:dyDescent="0.25"/>
    <row r="3564" s="1" customFormat="1" ht="15" x14ac:dyDescent="0.25"/>
    <row r="3565" s="1" customFormat="1" ht="15" x14ac:dyDescent="0.25"/>
    <row r="3566" s="1" customFormat="1" ht="15" x14ac:dyDescent="0.25"/>
    <row r="3567" s="1" customFormat="1" ht="15" x14ac:dyDescent="0.25"/>
    <row r="3568" s="1" customFormat="1" ht="15" x14ac:dyDescent="0.25"/>
    <row r="3569" s="1" customFormat="1" ht="15" x14ac:dyDescent="0.25"/>
    <row r="3570" s="1" customFormat="1" ht="15" x14ac:dyDescent="0.25"/>
    <row r="3571" s="1" customFormat="1" ht="15" x14ac:dyDescent="0.25"/>
    <row r="3572" s="1" customFormat="1" ht="15" x14ac:dyDescent="0.25"/>
    <row r="3573" s="1" customFormat="1" ht="15" x14ac:dyDescent="0.25"/>
    <row r="3574" s="1" customFormat="1" ht="15" x14ac:dyDescent="0.25"/>
    <row r="3575" s="1" customFormat="1" ht="15" x14ac:dyDescent="0.25"/>
    <row r="3576" s="1" customFormat="1" ht="15" x14ac:dyDescent="0.25"/>
    <row r="3577" s="1" customFormat="1" ht="15" x14ac:dyDescent="0.25"/>
    <row r="3578" s="1" customFormat="1" ht="15" x14ac:dyDescent="0.25"/>
    <row r="3579" s="1" customFormat="1" ht="15" x14ac:dyDescent="0.25"/>
    <row r="3580" s="1" customFormat="1" ht="15" x14ac:dyDescent="0.25"/>
    <row r="3581" s="1" customFormat="1" ht="15" x14ac:dyDescent="0.25"/>
    <row r="3582" s="1" customFormat="1" ht="15" x14ac:dyDescent="0.25"/>
    <row r="3583" s="1" customFormat="1" ht="15" x14ac:dyDescent="0.25"/>
    <row r="3584" s="1" customFormat="1" ht="15" x14ac:dyDescent="0.25"/>
    <row r="3585" s="1" customFormat="1" ht="15" x14ac:dyDescent="0.25"/>
    <row r="3586" s="1" customFormat="1" ht="15" x14ac:dyDescent="0.25"/>
    <row r="3587" s="1" customFormat="1" ht="15" x14ac:dyDescent="0.25"/>
    <row r="3588" s="1" customFormat="1" ht="15" x14ac:dyDescent="0.25"/>
    <row r="3589" s="1" customFormat="1" ht="15" x14ac:dyDescent="0.25"/>
    <row r="3590" s="1" customFormat="1" ht="15" x14ac:dyDescent="0.25"/>
    <row r="3591" s="1" customFormat="1" ht="15" x14ac:dyDescent="0.25"/>
    <row r="3592" s="1" customFormat="1" ht="15" x14ac:dyDescent="0.25"/>
    <row r="3593" s="1" customFormat="1" ht="15" x14ac:dyDescent="0.25"/>
    <row r="3594" s="1" customFormat="1" ht="15" x14ac:dyDescent="0.25"/>
    <row r="3595" s="1" customFormat="1" ht="15" x14ac:dyDescent="0.25"/>
    <row r="3596" s="1" customFormat="1" ht="15" x14ac:dyDescent="0.25"/>
    <row r="3597" s="1" customFormat="1" ht="15" x14ac:dyDescent="0.25"/>
    <row r="3598" s="1" customFormat="1" ht="15" x14ac:dyDescent="0.25"/>
    <row r="3599" s="1" customFormat="1" ht="15" x14ac:dyDescent="0.25"/>
    <row r="3600" s="1" customFormat="1" ht="15" x14ac:dyDescent="0.25"/>
    <row r="3601" s="1" customFormat="1" ht="15" x14ac:dyDescent="0.25"/>
    <row r="3602" s="1" customFormat="1" ht="15" x14ac:dyDescent="0.25"/>
    <row r="3603" s="1" customFormat="1" ht="15" x14ac:dyDescent="0.25"/>
    <row r="3604" s="1" customFormat="1" ht="15" x14ac:dyDescent="0.25"/>
    <row r="3605" s="1" customFormat="1" ht="15" x14ac:dyDescent="0.25"/>
    <row r="3606" s="1" customFormat="1" ht="15" x14ac:dyDescent="0.25"/>
    <row r="3607" s="1" customFormat="1" ht="15" x14ac:dyDescent="0.25"/>
    <row r="3608" s="1" customFormat="1" ht="15" x14ac:dyDescent="0.25"/>
    <row r="3609" s="1" customFormat="1" ht="15" x14ac:dyDescent="0.25"/>
    <row r="3610" s="1" customFormat="1" ht="15" x14ac:dyDescent="0.25"/>
    <row r="3611" s="1" customFormat="1" ht="15" x14ac:dyDescent="0.25"/>
    <row r="3612" s="1" customFormat="1" ht="15" x14ac:dyDescent="0.25"/>
    <row r="3613" s="1" customFormat="1" ht="15" x14ac:dyDescent="0.25"/>
    <row r="3614" s="1" customFormat="1" ht="15" x14ac:dyDescent="0.25"/>
    <row r="3615" s="1" customFormat="1" ht="15" x14ac:dyDescent="0.25"/>
    <row r="3616" s="1" customFormat="1" ht="15" x14ac:dyDescent="0.25"/>
    <row r="3617" s="1" customFormat="1" ht="15" x14ac:dyDescent="0.25"/>
    <row r="3618" s="1" customFormat="1" ht="15" x14ac:dyDescent="0.25"/>
    <row r="3619" s="1" customFormat="1" ht="15" x14ac:dyDescent="0.25"/>
    <row r="3620" s="1" customFormat="1" ht="15" x14ac:dyDescent="0.25"/>
    <row r="3621" s="1" customFormat="1" ht="15" x14ac:dyDescent="0.25"/>
    <row r="3622" s="1" customFormat="1" ht="15" x14ac:dyDescent="0.25"/>
    <row r="3623" s="1" customFormat="1" ht="15" x14ac:dyDescent="0.25"/>
    <row r="3624" s="1" customFormat="1" ht="15" x14ac:dyDescent="0.25"/>
    <row r="3625" s="1" customFormat="1" ht="15" x14ac:dyDescent="0.25"/>
    <row r="3626" s="1" customFormat="1" ht="15" x14ac:dyDescent="0.25"/>
    <row r="3627" s="1" customFormat="1" ht="15" x14ac:dyDescent="0.25"/>
    <row r="3628" s="1" customFormat="1" ht="15" x14ac:dyDescent="0.25"/>
    <row r="3629" s="1" customFormat="1" ht="15" x14ac:dyDescent="0.25"/>
    <row r="3630" s="1" customFormat="1" ht="15" x14ac:dyDescent="0.25"/>
    <row r="3631" s="1" customFormat="1" ht="15" x14ac:dyDescent="0.25"/>
    <row r="3632" s="1" customFormat="1" ht="15" x14ac:dyDescent="0.25"/>
    <row r="3633" s="1" customFormat="1" ht="15" x14ac:dyDescent="0.25"/>
    <row r="3634" s="1" customFormat="1" ht="15" x14ac:dyDescent="0.25"/>
    <row r="3635" s="1" customFormat="1" ht="15" x14ac:dyDescent="0.25"/>
    <row r="3636" s="1" customFormat="1" ht="15" x14ac:dyDescent="0.25"/>
    <row r="3637" s="1" customFormat="1" ht="15" x14ac:dyDescent="0.25"/>
    <row r="3638" s="1" customFormat="1" ht="15" x14ac:dyDescent="0.25"/>
    <row r="3639" s="1" customFormat="1" ht="15" x14ac:dyDescent="0.25"/>
    <row r="3640" s="1" customFormat="1" ht="15" x14ac:dyDescent="0.25"/>
    <row r="3641" s="1" customFormat="1" ht="15" x14ac:dyDescent="0.25"/>
    <row r="3642" s="1" customFormat="1" ht="15" x14ac:dyDescent="0.25"/>
    <row r="3643" s="1" customFormat="1" ht="15" x14ac:dyDescent="0.25"/>
    <row r="3644" s="1" customFormat="1" ht="15" x14ac:dyDescent="0.25"/>
    <row r="3645" s="1" customFormat="1" ht="15" x14ac:dyDescent="0.25"/>
    <row r="3646" s="1" customFormat="1" ht="15" x14ac:dyDescent="0.25"/>
    <row r="3647" s="1" customFormat="1" ht="15" x14ac:dyDescent="0.25"/>
    <row r="3648" s="1" customFormat="1" ht="15" x14ac:dyDescent="0.25"/>
    <row r="3649" s="1" customFormat="1" ht="15" x14ac:dyDescent="0.25"/>
    <row r="3650" s="1" customFormat="1" ht="15" x14ac:dyDescent="0.25"/>
    <row r="3651" s="1" customFormat="1" ht="15" x14ac:dyDescent="0.25"/>
    <row r="3652" s="1" customFormat="1" ht="15" x14ac:dyDescent="0.25"/>
    <row r="3653" s="1" customFormat="1" ht="15" x14ac:dyDescent="0.25"/>
    <row r="3654" s="1" customFormat="1" ht="15" x14ac:dyDescent="0.25"/>
    <row r="3655" s="1" customFormat="1" ht="15" x14ac:dyDescent="0.25"/>
    <row r="3656" s="1" customFormat="1" ht="15" x14ac:dyDescent="0.25"/>
    <row r="3657" s="1" customFormat="1" ht="15" x14ac:dyDescent="0.25"/>
    <row r="3658" s="1" customFormat="1" ht="15" x14ac:dyDescent="0.25"/>
    <row r="3659" s="1" customFormat="1" ht="15" x14ac:dyDescent="0.25"/>
    <row r="3660" s="1" customFormat="1" ht="15" x14ac:dyDescent="0.25"/>
    <row r="3661" s="1" customFormat="1" ht="15" x14ac:dyDescent="0.25"/>
    <row r="3662" s="1" customFormat="1" ht="15" x14ac:dyDescent="0.25"/>
    <row r="3663" s="1" customFormat="1" ht="15" x14ac:dyDescent="0.25"/>
    <row r="3664" s="1" customFormat="1" ht="15" x14ac:dyDescent="0.25"/>
    <row r="3665" s="1" customFormat="1" ht="15" x14ac:dyDescent="0.25"/>
    <row r="3666" s="1" customFormat="1" ht="15" x14ac:dyDescent="0.25"/>
    <row r="3667" s="1" customFormat="1" ht="15" x14ac:dyDescent="0.25"/>
    <row r="3668" s="1" customFormat="1" ht="15" x14ac:dyDescent="0.25"/>
    <row r="3669" s="1" customFormat="1" ht="15" x14ac:dyDescent="0.25"/>
    <row r="3670" s="1" customFormat="1" ht="15" x14ac:dyDescent="0.25"/>
    <row r="3671" s="1" customFormat="1" ht="15" x14ac:dyDescent="0.25"/>
    <row r="3672" s="1" customFormat="1" ht="15" x14ac:dyDescent="0.25"/>
    <row r="3673" s="1" customFormat="1" ht="15" x14ac:dyDescent="0.25"/>
    <row r="3674" s="1" customFormat="1" ht="15" x14ac:dyDescent="0.25"/>
    <row r="3675" s="1" customFormat="1" ht="15" x14ac:dyDescent="0.25"/>
    <row r="3676" s="1" customFormat="1" ht="15" x14ac:dyDescent="0.25"/>
    <row r="3677" s="1" customFormat="1" ht="15" x14ac:dyDescent="0.25"/>
    <row r="3678" s="1" customFormat="1" ht="15" x14ac:dyDescent="0.25"/>
    <row r="3679" s="1" customFormat="1" ht="15" x14ac:dyDescent="0.25"/>
    <row r="3680" s="1" customFormat="1" ht="15" x14ac:dyDescent="0.25"/>
    <row r="3681" s="1" customFormat="1" ht="15" x14ac:dyDescent="0.25"/>
    <row r="3682" s="1" customFormat="1" ht="15" x14ac:dyDescent="0.25"/>
    <row r="3683" s="1" customFormat="1" ht="15" x14ac:dyDescent="0.25"/>
    <row r="3684" s="1" customFormat="1" ht="15" x14ac:dyDescent="0.25"/>
    <row r="3685" s="1" customFormat="1" ht="15" x14ac:dyDescent="0.25"/>
    <row r="3686" s="1" customFormat="1" ht="15" x14ac:dyDescent="0.25"/>
    <row r="3687" s="1" customFormat="1" ht="15" x14ac:dyDescent="0.25"/>
    <row r="3688" s="1" customFormat="1" ht="15" x14ac:dyDescent="0.25"/>
    <row r="3689" s="1" customFormat="1" ht="15" x14ac:dyDescent="0.25"/>
    <row r="3690" s="1" customFormat="1" ht="15" x14ac:dyDescent="0.25"/>
    <row r="3691" s="1" customFormat="1" ht="15" x14ac:dyDescent="0.25"/>
    <row r="3692" s="1" customFormat="1" ht="15" x14ac:dyDescent="0.25"/>
    <row r="3693" s="1" customFormat="1" ht="15" x14ac:dyDescent="0.25"/>
    <row r="3694" s="1" customFormat="1" ht="15" x14ac:dyDescent="0.25"/>
    <row r="3695" s="1" customFormat="1" ht="15" x14ac:dyDescent="0.25"/>
    <row r="3696" s="1" customFormat="1" ht="15" x14ac:dyDescent="0.25"/>
    <row r="3697" s="1" customFormat="1" ht="15" x14ac:dyDescent="0.25"/>
    <row r="3698" s="1" customFormat="1" ht="15" x14ac:dyDescent="0.25"/>
    <row r="3699" s="1" customFormat="1" ht="15" x14ac:dyDescent="0.25"/>
    <row r="3700" s="1" customFormat="1" ht="15" x14ac:dyDescent="0.25"/>
    <row r="3701" s="1" customFormat="1" ht="15" x14ac:dyDescent="0.25"/>
    <row r="3702" s="1" customFormat="1" ht="15" x14ac:dyDescent="0.25"/>
    <row r="3703" s="1" customFormat="1" ht="15" x14ac:dyDescent="0.25"/>
    <row r="3704" s="1" customFormat="1" ht="15" x14ac:dyDescent="0.25"/>
    <row r="3705" s="1" customFormat="1" ht="15" x14ac:dyDescent="0.25"/>
    <row r="3706" s="1" customFormat="1" ht="15" x14ac:dyDescent="0.25"/>
    <row r="3707" s="1" customFormat="1" ht="15" x14ac:dyDescent="0.25"/>
    <row r="3708" s="1" customFormat="1" ht="15" x14ac:dyDescent="0.25"/>
    <row r="3709" s="1" customFormat="1" ht="15" x14ac:dyDescent="0.25"/>
    <row r="3710" s="1" customFormat="1" ht="15" x14ac:dyDescent="0.25"/>
    <row r="3711" s="1" customFormat="1" ht="15" x14ac:dyDescent="0.25"/>
    <row r="3712" s="1" customFormat="1" ht="15" x14ac:dyDescent="0.25"/>
    <row r="3713" s="1" customFormat="1" ht="15" x14ac:dyDescent="0.25"/>
    <row r="3714" s="1" customFormat="1" ht="15" x14ac:dyDescent="0.25"/>
    <row r="3715" s="1" customFormat="1" ht="15" x14ac:dyDescent="0.25"/>
    <row r="3716" s="1" customFormat="1" ht="15" x14ac:dyDescent="0.25"/>
    <row r="3717" s="1" customFormat="1" ht="15" x14ac:dyDescent="0.25"/>
    <row r="3718" s="1" customFormat="1" ht="15" x14ac:dyDescent="0.25"/>
    <row r="3719" s="1" customFormat="1" ht="15" x14ac:dyDescent="0.25"/>
    <row r="3720" s="1" customFormat="1" ht="15" x14ac:dyDescent="0.25"/>
    <row r="3721" s="1" customFormat="1" ht="15" x14ac:dyDescent="0.25"/>
    <row r="3722" s="1" customFormat="1" ht="15" x14ac:dyDescent="0.25"/>
    <row r="3723" s="1" customFormat="1" ht="15" x14ac:dyDescent="0.25"/>
    <row r="3724" s="1" customFormat="1" ht="15" x14ac:dyDescent="0.25"/>
    <row r="3725" s="1" customFormat="1" ht="15" x14ac:dyDescent="0.25"/>
    <row r="3726" s="1" customFormat="1" ht="15" x14ac:dyDescent="0.25"/>
    <row r="3727" s="1" customFormat="1" ht="15" x14ac:dyDescent="0.25"/>
    <row r="3728" s="1" customFormat="1" ht="15" x14ac:dyDescent="0.25"/>
    <row r="3729" s="1" customFormat="1" ht="15" x14ac:dyDescent="0.25"/>
    <row r="3730" s="1" customFormat="1" ht="15" x14ac:dyDescent="0.25"/>
    <row r="3731" s="1" customFormat="1" ht="15" x14ac:dyDescent="0.25"/>
    <row r="3732" s="1" customFormat="1" ht="15" x14ac:dyDescent="0.25"/>
    <row r="3733" s="1" customFormat="1" ht="15" x14ac:dyDescent="0.25"/>
    <row r="3734" s="1" customFormat="1" ht="15" x14ac:dyDescent="0.25"/>
    <row r="3735" s="1" customFormat="1" ht="15" x14ac:dyDescent="0.25"/>
    <row r="3736" s="1" customFormat="1" ht="15" x14ac:dyDescent="0.25"/>
    <row r="3737" s="1" customFormat="1" ht="15" x14ac:dyDescent="0.25"/>
    <row r="3738" s="1" customFormat="1" ht="15" x14ac:dyDescent="0.25"/>
    <row r="3739" s="1" customFormat="1" ht="15" x14ac:dyDescent="0.25"/>
    <row r="3740" s="1" customFormat="1" ht="15" x14ac:dyDescent="0.25"/>
    <row r="3741" s="1" customFormat="1" ht="15" x14ac:dyDescent="0.25"/>
    <row r="3742" s="1" customFormat="1" ht="15" x14ac:dyDescent="0.25"/>
    <row r="3743" s="1" customFormat="1" ht="15" x14ac:dyDescent="0.25"/>
    <row r="3744" s="1" customFormat="1" ht="15" x14ac:dyDescent="0.25"/>
    <row r="3745" s="1" customFormat="1" ht="15" x14ac:dyDescent="0.25"/>
    <row r="3746" s="1" customFormat="1" ht="15" x14ac:dyDescent="0.25"/>
    <row r="3747" s="1" customFormat="1" ht="15" x14ac:dyDescent="0.25"/>
    <row r="3748" s="1" customFormat="1" ht="15" x14ac:dyDescent="0.25"/>
    <row r="3749" s="1" customFormat="1" ht="15" x14ac:dyDescent="0.25"/>
    <row r="3750" s="1" customFormat="1" ht="15" x14ac:dyDescent="0.25"/>
    <row r="3751" s="1" customFormat="1" ht="15" x14ac:dyDescent="0.25"/>
    <row r="3752" s="1" customFormat="1" ht="15" x14ac:dyDescent="0.25"/>
    <row r="3753" s="1" customFormat="1" ht="15" x14ac:dyDescent="0.25"/>
    <row r="3754" s="1" customFormat="1" ht="15" x14ac:dyDescent="0.25"/>
    <row r="3755" s="1" customFormat="1" ht="15" x14ac:dyDescent="0.25"/>
    <row r="3756" s="1" customFormat="1" ht="15" x14ac:dyDescent="0.25"/>
    <row r="3757" s="1" customFormat="1" ht="15" x14ac:dyDescent="0.25"/>
    <row r="3758" s="1" customFormat="1" ht="15" x14ac:dyDescent="0.25"/>
    <row r="3759" s="1" customFormat="1" ht="15" x14ac:dyDescent="0.25"/>
    <row r="3760" s="1" customFormat="1" ht="15" x14ac:dyDescent="0.25"/>
    <row r="3761" s="1" customFormat="1" ht="15" x14ac:dyDescent="0.25"/>
    <row r="3762" s="1" customFormat="1" ht="15" x14ac:dyDescent="0.25"/>
    <row r="3763" s="1" customFormat="1" ht="15" x14ac:dyDescent="0.25"/>
    <row r="3764" s="1" customFormat="1" ht="15" x14ac:dyDescent="0.25"/>
    <row r="3765" s="1" customFormat="1" ht="15" x14ac:dyDescent="0.25"/>
    <row r="3766" s="1" customFormat="1" ht="15" x14ac:dyDescent="0.25"/>
    <row r="3767" s="1" customFormat="1" ht="15" x14ac:dyDescent="0.25"/>
    <row r="3768" s="1" customFormat="1" ht="15" x14ac:dyDescent="0.25"/>
    <row r="3769" s="1" customFormat="1" ht="15" x14ac:dyDescent="0.25"/>
    <row r="3770" s="1" customFormat="1" ht="15" x14ac:dyDescent="0.25"/>
    <row r="3771" s="1" customFormat="1" ht="15" x14ac:dyDescent="0.25"/>
    <row r="3772" s="1" customFormat="1" ht="15" x14ac:dyDescent="0.25"/>
    <row r="3773" s="1" customFormat="1" ht="15" x14ac:dyDescent="0.25"/>
    <row r="3774" s="1" customFormat="1" ht="15" x14ac:dyDescent="0.25"/>
    <row r="3775" s="1" customFormat="1" ht="15" x14ac:dyDescent="0.25"/>
    <row r="3776" s="1" customFormat="1" ht="15" x14ac:dyDescent="0.25"/>
    <row r="3777" s="1" customFormat="1" ht="15" x14ac:dyDescent="0.25"/>
    <row r="3778" s="1" customFormat="1" ht="15" x14ac:dyDescent="0.25"/>
    <row r="3779" s="1" customFormat="1" ht="15" x14ac:dyDescent="0.25"/>
    <row r="3780" s="1" customFormat="1" ht="15" x14ac:dyDescent="0.25"/>
    <row r="3781" s="1" customFormat="1" ht="15" x14ac:dyDescent="0.25"/>
    <row r="3782" s="1" customFormat="1" ht="15" x14ac:dyDescent="0.25"/>
    <row r="3783" s="1" customFormat="1" ht="15" x14ac:dyDescent="0.25"/>
    <row r="3784" s="1" customFormat="1" ht="15" x14ac:dyDescent="0.25"/>
    <row r="3785" s="1" customFormat="1" ht="15" x14ac:dyDescent="0.25"/>
    <row r="3786" s="1" customFormat="1" ht="15" x14ac:dyDescent="0.25"/>
    <row r="3787" s="1" customFormat="1" ht="15" x14ac:dyDescent="0.25"/>
    <row r="3788" s="1" customFormat="1" ht="15" x14ac:dyDescent="0.25"/>
    <row r="3789" s="1" customFormat="1" ht="15" x14ac:dyDescent="0.25"/>
    <row r="3790" s="1" customFormat="1" ht="15" x14ac:dyDescent="0.25"/>
    <row r="3791" s="1" customFormat="1" ht="15" x14ac:dyDescent="0.25"/>
    <row r="3792" s="1" customFormat="1" ht="15" x14ac:dyDescent="0.25"/>
    <row r="3793" s="1" customFormat="1" ht="15" x14ac:dyDescent="0.25"/>
    <row r="3794" s="1" customFormat="1" ht="15" x14ac:dyDescent="0.25"/>
    <row r="3795" s="1" customFormat="1" ht="15" x14ac:dyDescent="0.25"/>
    <row r="3796" s="1" customFormat="1" ht="15" x14ac:dyDescent="0.25"/>
    <row r="3797" s="1" customFormat="1" ht="15" x14ac:dyDescent="0.25"/>
    <row r="3798" s="1" customFormat="1" ht="15" x14ac:dyDescent="0.25"/>
    <row r="3799" s="1" customFormat="1" ht="15" x14ac:dyDescent="0.25"/>
    <row r="3800" s="1" customFormat="1" ht="15" x14ac:dyDescent="0.25"/>
    <row r="3801" s="1" customFormat="1" ht="15" x14ac:dyDescent="0.25"/>
    <row r="3802" s="1" customFormat="1" ht="15" x14ac:dyDescent="0.25"/>
    <row r="3803" s="1" customFormat="1" ht="15" x14ac:dyDescent="0.25"/>
    <row r="3804" s="1" customFormat="1" ht="15" x14ac:dyDescent="0.25"/>
    <row r="3805" s="1" customFormat="1" ht="15" x14ac:dyDescent="0.25"/>
    <row r="3806" s="1" customFormat="1" ht="15" x14ac:dyDescent="0.25"/>
    <row r="3807" s="1" customFormat="1" ht="15" x14ac:dyDescent="0.25"/>
    <row r="3808" s="1" customFormat="1" ht="15" x14ac:dyDescent="0.25"/>
    <row r="3809" s="1" customFormat="1" ht="15" x14ac:dyDescent="0.25"/>
    <row r="3810" s="1" customFormat="1" ht="15" x14ac:dyDescent="0.25"/>
    <row r="3811" s="1" customFormat="1" ht="15" x14ac:dyDescent="0.25"/>
    <row r="3812" s="1" customFormat="1" ht="15" x14ac:dyDescent="0.25"/>
    <row r="3813" s="1" customFormat="1" ht="15" x14ac:dyDescent="0.25"/>
    <row r="3814" s="1" customFormat="1" ht="15" x14ac:dyDescent="0.25"/>
    <row r="3815" s="1" customFormat="1" ht="15" x14ac:dyDescent="0.25"/>
    <row r="3816" s="1" customFormat="1" ht="15" x14ac:dyDescent="0.25"/>
    <row r="3817" s="1" customFormat="1" ht="15" x14ac:dyDescent="0.25"/>
    <row r="3818" s="1" customFormat="1" ht="15" x14ac:dyDescent="0.25"/>
    <row r="3819" s="1" customFormat="1" ht="15" x14ac:dyDescent="0.25"/>
    <row r="3820" s="1" customFormat="1" ht="15" x14ac:dyDescent="0.25"/>
    <row r="3821" s="1" customFormat="1" ht="15" x14ac:dyDescent="0.25"/>
    <row r="3822" s="1" customFormat="1" ht="15" x14ac:dyDescent="0.25"/>
    <row r="3823" s="1" customFormat="1" ht="15" x14ac:dyDescent="0.25"/>
    <row r="3824" s="1" customFormat="1" ht="15" x14ac:dyDescent="0.25"/>
    <row r="3825" s="1" customFormat="1" ht="15" x14ac:dyDescent="0.25"/>
    <row r="3826" s="1" customFormat="1" ht="15" x14ac:dyDescent="0.25"/>
    <row r="3827" s="1" customFormat="1" ht="15" x14ac:dyDescent="0.25"/>
    <row r="3828" s="1" customFormat="1" ht="15" x14ac:dyDescent="0.25"/>
    <row r="3829" s="1" customFormat="1" ht="15" x14ac:dyDescent="0.25"/>
    <row r="3830" s="1" customFormat="1" ht="15" x14ac:dyDescent="0.25"/>
    <row r="3831" s="1" customFormat="1" ht="15" x14ac:dyDescent="0.25"/>
    <row r="3832" s="1" customFormat="1" ht="15" x14ac:dyDescent="0.25"/>
    <row r="3833" s="1" customFormat="1" ht="15" x14ac:dyDescent="0.25"/>
    <row r="3834" s="1" customFormat="1" ht="15" x14ac:dyDescent="0.25"/>
    <row r="3835" s="1" customFormat="1" ht="15" x14ac:dyDescent="0.25"/>
    <row r="3836" s="1" customFormat="1" ht="15" x14ac:dyDescent="0.25"/>
    <row r="3837" s="1" customFormat="1" ht="15" x14ac:dyDescent="0.25"/>
    <row r="3838" s="1" customFormat="1" ht="15" x14ac:dyDescent="0.25"/>
    <row r="3839" s="1" customFormat="1" ht="15" x14ac:dyDescent="0.25"/>
    <row r="3840" s="1" customFormat="1" ht="15" x14ac:dyDescent="0.25"/>
    <row r="3841" s="1" customFormat="1" ht="15" x14ac:dyDescent="0.25"/>
    <row r="3842" s="1" customFormat="1" ht="15" x14ac:dyDescent="0.25"/>
    <row r="3843" s="1" customFormat="1" ht="15" x14ac:dyDescent="0.25"/>
    <row r="3844" s="1" customFormat="1" ht="15" x14ac:dyDescent="0.25"/>
    <row r="3845" s="1" customFormat="1" ht="15" x14ac:dyDescent="0.25"/>
    <row r="3846" s="1" customFormat="1" ht="15" x14ac:dyDescent="0.25"/>
    <row r="3847" s="1" customFormat="1" ht="15" x14ac:dyDescent="0.25"/>
    <row r="3848" s="1" customFormat="1" ht="15" x14ac:dyDescent="0.25"/>
    <row r="3849" s="1" customFormat="1" ht="15" x14ac:dyDescent="0.25"/>
    <row r="3850" s="1" customFormat="1" ht="15" x14ac:dyDescent="0.25"/>
    <row r="3851" s="1" customFormat="1" ht="15" x14ac:dyDescent="0.25"/>
    <row r="3852" s="1" customFormat="1" ht="15" x14ac:dyDescent="0.25"/>
    <row r="3853" s="1" customFormat="1" ht="15" x14ac:dyDescent="0.25"/>
    <row r="3854" s="1" customFormat="1" ht="15" x14ac:dyDescent="0.25"/>
    <row r="3855" s="1" customFormat="1" ht="15" x14ac:dyDescent="0.25"/>
    <row r="3856" s="1" customFormat="1" ht="15" x14ac:dyDescent="0.25"/>
    <row r="3857" s="1" customFormat="1" ht="15" x14ac:dyDescent="0.25"/>
    <row r="3858" s="1" customFormat="1" ht="15" x14ac:dyDescent="0.25"/>
    <row r="3859" s="1" customFormat="1" ht="15" x14ac:dyDescent="0.25"/>
    <row r="3860" s="1" customFormat="1" ht="15" x14ac:dyDescent="0.25"/>
    <row r="3861" s="1" customFormat="1" ht="15" x14ac:dyDescent="0.25"/>
    <row r="3862" s="1" customFormat="1" ht="15" x14ac:dyDescent="0.25"/>
    <row r="3863" s="1" customFormat="1" ht="15" x14ac:dyDescent="0.25"/>
    <row r="3864" s="1" customFormat="1" ht="15" x14ac:dyDescent="0.25"/>
    <row r="3865" s="1" customFormat="1" ht="15" x14ac:dyDescent="0.25"/>
    <row r="3866" s="1" customFormat="1" ht="15" x14ac:dyDescent="0.25"/>
    <row r="3867" s="1" customFormat="1" ht="15" x14ac:dyDescent="0.25"/>
    <row r="3868" s="1" customFormat="1" ht="15" x14ac:dyDescent="0.25"/>
    <row r="3869" s="1" customFormat="1" ht="15" x14ac:dyDescent="0.25"/>
    <row r="3870" s="1" customFormat="1" ht="15" x14ac:dyDescent="0.25"/>
    <row r="3871" s="1" customFormat="1" ht="15" x14ac:dyDescent="0.25"/>
    <row r="3872" s="1" customFormat="1" ht="15" x14ac:dyDescent="0.25"/>
    <row r="3873" s="1" customFormat="1" ht="15" x14ac:dyDescent="0.25"/>
    <row r="3874" s="1" customFormat="1" ht="15" x14ac:dyDescent="0.25"/>
    <row r="3875" s="1" customFormat="1" ht="15" x14ac:dyDescent="0.25"/>
    <row r="3876" s="1" customFormat="1" ht="15" x14ac:dyDescent="0.25"/>
    <row r="3877" s="1" customFormat="1" ht="15" x14ac:dyDescent="0.25"/>
    <row r="3878" s="1" customFormat="1" ht="15" x14ac:dyDescent="0.25"/>
    <row r="3879" s="1" customFormat="1" ht="15" x14ac:dyDescent="0.25"/>
    <row r="3880" s="1" customFormat="1" ht="15" x14ac:dyDescent="0.25"/>
    <row r="3881" s="1" customFormat="1" ht="15" x14ac:dyDescent="0.25"/>
    <row r="3882" s="1" customFormat="1" ht="15" x14ac:dyDescent="0.25"/>
    <row r="3883" s="1" customFormat="1" ht="15" x14ac:dyDescent="0.25"/>
    <row r="3884" s="1" customFormat="1" ht="15" x14ac:dyDescent="0.25"/>
    <row r="3885" s="1" customFormat="1" ht="15" x14ac:dyDescent="0.25"/>
    <row r="3886" s="1" customFormat="1" ht="15" x14ac:dyDescent="0.25"/>
    <row r="3887" s="1" customFormat="1" ht="15" x14ac:dyDescent="0.25"/>
    <row r="3888" s="1" customFormat="1" ht="15" x14ac:dyDescent="0.25"/>
    <row r="3889" s="1" customFormat="1" ht="15" x14ac:dyDescent="0.25"/>
    <row r="3890" s="1" customFormat="1" ht="15" x14ac:dyDescent="0.25"/>
    <row r="3891" s="1" customFormat="1" ht="15" x14ac:dyDescent="0.25"/>
    <row r="3892" s="1" customFormat="1" ht="15" x14ac:dyDescent="0.25"/>
    <row r="3893" s="1" customFormat="1" ht="15" x14ac:dyDescent="0.25"/>
    <row r="3894" s="1" customFormat="1" ht="15" x14ac:dyDescent="0.25"/>
    <row r="3895" s="1" customFormat="1" ht="15" x14ac:dyDescent="0.25"/>
    <row r="3896" s="1" customFormat="1" ht="15" x14ac:dyDescent="0.25"/>
    <row r="3897" s="1" customFormat="1" ht="15" x14ac:dyDescent="0.25"/>
    <row r="3898" s="1" customFormat="1" ht="15" x14ac:dyDescent="0.25"/>
    <row r="3899" s="1" customFormat="1" ht="15" x14ac:dyDescent="0.25"/>
    <row r="3900" s="1" customFormat="1" ht="15" x14ac:dyDescent="0.25"/>
    <row r="3901" s="1" customFormat="1" ht="15" x14ac:dyDescent="0.25"/>
    <row r="3902" s="1" customFormat="1" ht="15" x14ac:dyDescent="0.25"/>
    <row r="3903" s="1" customFormat="1" ht="15" x14ac:dyDescent="0.25"/>
    <row r="3904" s="1" customFormat="1" ht="15" x14ac:dyDescent="0.25"/>
    <row r="3905" s="1" customFormat="1" ht="15" x14ac:dyDescent="0.25"/>
    <row r="3906" s="1" customFormat="1" ht="15" x14ac:dyDescent="0.25"/>
    <row r="3907" s="1" customFormat="1" ht="15" x14ac:dyDescent="0.25"/>
    <row r="3908" s="1" customFormat="1" ht="15" x14ac:dyDescent="0.25"/>
    <row r="3909" s="1" customFormat="1" ht="15" x14ac:dyDescent="0.25"/>
    <row r="3910" s="1" customFormat="1" ht="15" x14ac:dyDescent="0.25"/>
    <row r="3911" s="1" customFormat="1" ht="15" x14ac:dyDescent="0.25"/>
    <row r="3912" s="1" customFormat="1" ht="15" x14ac:dyDescent="0.25"/>
    <row r="3913" s="1" customFormat="1" ht="15" x14ac:dyDescent="0.25"/>
    <row r="3914" s="1" customFormat="1" ht="15" x14ac:dyDescent="0.25"/>
    <row r="3915" s="1" customFormat="1" ht="15" x14ac:dyDescent="0.25"/>
    <row r="3916" s="1" customFormat="1" ht="15" x14ac:dyDescent="0.25"/>
    <row r="3917" s="1" customFormat="1" ht="15" x14ac:dyDescent="0.25"/>
    <row r="3918" s="1" customFormat="1" ht="15" x14ac:dyDescent="0.25"/>
    <row r="3919" s="1" customFormat="1" ht="15" x14ac:dyDescent="0.25"/>
    <row r="3920" s="1" customFormat="1" ht="15" x14ac:dyDescent="0.25"/>
    <row r="3921" s="1" customFormat="1" ht="15" x14ac:dyDescent="0.25"/>
    <row r="3922" s="1" customFormat="1" ht="15" x14ac:dyDescent="0.25"/>
    <row r="3923" s="1" customFormat="1" ht="15" x14ac:dyDescent="0.25"/>
    <row r="3924" s="1" customFormat="1" ht="15" x14ac:dyDescent="0.25"/>
    <row r="3925" s="1" customFormat="1" ht="15" x14ac:dyDescent="0.25"/>
    <row r="3926" s="1" customFormat="1" ht="15" x14ac:dyDescent="0.25"/>
    <row r="3927" s="1" customFormat="1" ht="15" x14ac:dyDescent="0.25"/>
    <row r="3928" s="1" customFormat="1" ht="15" x14ac:dyDescent="0.25"/>
    <row r="3929" s="1" customFormat="1" ht="15" x14ac:dyDescent="0.25"/>
    <row r="3930" s="1" customFormat="1" ht="15" x14ac:dyDescent="0.25"/>
    <row r="3931" s="1" customFormat="1" ht="15" x14ac:dyDescent="0.25"/>
    <row r="3932" s="1" customFormat="1" ht="15" x14ac:dyDescent="0.25"/>
    <row r="3933" s="1" customFormat="1" ht="15" x14ac:dyDescent="0.25"/>
    <row r="3934" s="1" customFormat="1" ht="15" x14ac:dyDescent="0.25"/>
    <row r="3935" s="1" customFormat="1" ht="15" x14ac:dyDescent="0.25"/>
    <row r="3936" s="1" customFormat="1" ht="15" x14ac:dyDescent="0.25"/>
    <row r="3937" s="1" customFormat="1" ht="15" x14ac:dyDescent="0.25"/>
    <row r="3938" s="1" customFormat="1" ht="15" x14ac:dyDescent="0.25"/>
    <row r="3939" s="1" customFormat="1" ht="15" x14ac:dyDescent="0.25"/>
    <row r="3940" s="1" customFormat="1" ht="15" x14ac:dyDescent="0.25"/>
    <row r="3941" s="1" customFormat="1" ht="15" x14ac:dyDescent="0.25"/>
    <row r="3942" s="1" customFormat="1" ht="15" x14ac:dyDescent="0.25"/>
    <row r="3943" s="1" customFormat="1" ht="15" x14ac:dyDescent="0.25"/>
    <row r="3944" s="1" customFormat="1" ht="15" x14ac:dyDescent="0.25"/>
    <row r="3945" s="1" customFormat="1" ht="15" x14ac:dyDescent="0.25"/>
    <row r="3946" s="1" customFormat="1" ht="15" x14ac:dyDescent="0.25"/>
    <row r="3947" s="1" customFormat="1" ht="15" x14ac:dyDescent="0.25"/>
    <row r="3948" s="1" customFormat="1" ht="15" x14ac:dyDescent="0.25"/>
    <row r="3949" s="1" customFormat="1" ht="15" x14ac:dyDescent="0.25"/>
    <row r="3950" s="1" customFormat="1" ht="15" x14ac:dyDescent="0.25"/>
    <row r="3951" s="1" customFormat="1" ht="15" x14ac:dyDescent="0.25"/>
    <row r="3952" s="1" customFormat="1" ht="15" x14ac:dyDescent="0.25"/>
    <row r="3953" s="1" customFormat="1" ht="15" x14ac:dyDescent="0.25"/>
    <row r="3954" s="1" customFormat="1" ht="15" x14ac:dyDescent="0.25"/>
    <row r="3955" s="1" customFormat="1" ht="15" x14ac:dyDescent="0.25"/>
    <row r="3956" s="1" customFormat="1" ht="15" x14ac:dyDescent="0.25"/>
    <row r="3957" s="1" customFormat="1" ht="15" x14ac:dyDescent="0.25"/>
    <row r="3958" s="1" customFormat="1" ht="15" x14ac:dyDescent="0.25"/>
    <row r="3959" s="1" customFormat="1" ht="15" x14ac:dyDescent="0.25"/>
    <row r="3960" s="1" customFormat="1" ht="15" x14ac:dyDescent="0.25"/>
    <row r="3961" s="1" customFormat="1" ht="15" x14ac:dyDescent="0.25"/>
    <row r="3962" s="1" customFormat="1" ht="15" x14ac:dyDescent="0.25"/>
    <row r="3963" s="1" customFormat="1" ht="15" x14ac:dyDescent="0.25"/>
    <row r="3964" s="1" customFormat="1" ht="15" x14ac:dyDescent="0.25"/>
    <row r="3965" s="1" customFormat="1" ht="15" x14ac:dyDescent="0.25"/>
    <row r="3966" s="1" customFormat="1" ht="15" x14ac:dyDescent="0.25"/>
    <row r="3967" s="1" customFormat="1" ht="15" x14ac:dyDescent="0.25"/>
    <row r="3968" s="1" customFormat="1" ht="15" x14ac:dyDescent="0.25"/>
    <row r="3969" s="1" customFormat="1" ht="15" x14ac:dyDescent="0.25"/>
    <row r="3970" s="1" customFormat="1" ht="15" x14ac:dyDescent="0.25"/>
    <row r="3971" s="1" customFormat="1" ht="15" x14ac:dyDescent="0.25"/>
    <row r="3972" s="1" customFormat="1" ht="15" x14ac:dyDescent="0.25"/>
    <row r="3973" s="1" customFormat="1" ht="15" x14ac:dyDescent="0.25"/>
    <row r="3974" s="1" customFormat="1" ht="15" x14ac:dyDescent="0.25"/>
    <row r="3975" s="1" customFormat="1" ht="15" x14ac:dyDescent="0.25"/>
    <row r="3976" s="1" customFormat="1" ht="15" x14ac:dyDescent="0.25"/>
    <row r="3977" s="1" customFormat="1" ht="15" x14ac:dyDescent="0.25"/>
    <row r="3978" s="1" customFormat="1" ht="15" x14ac:dyDescent="0.25"/>
    <row r="3979" s="1" customFormat="1" ht="15" x14ac:dyDescent="0.25"/>
    <row r="3980" s="1" customFormat="1" ht="15" x14ac:dyDescent="0.25"/>
    <row r="3981" s="1" customFormat="1" ht="15" x14ac:dyDescent="0.25"/>
    <row r="3982" s="1" customFormat="1" ht="15" x14ac:dyDescent="0.25"/>
    <row r="3983" s="1" customFormat="1" ht="15" x14ac:dyDescent="0.25"/>
    <row r="3984" s="1" customFormat="1" ht="15" x14ac:dyDescent="0.25"/>
    <row r="3985" s="1" customFormat="1" ht="15" x14ac:dyDescent="0.25"/>
    <row r="3986" s="1" customFormat="1" ht="15" x14ac:dyDescent="0.25"/>
    <row r="3987" s="1" customFormat="1" ht="15" x14ac:dyDescent="0.25"/>
    <row r="3988" s="1" customFormat="1" ht="15" x14ac:dyDescent="0.25"/>
    <row r="3989" s="1" customFormat="1" ht="15" x14ac:dyDescent="0.25"/>
    <row r="3990" s="1" customFormat="1" ht="15" x14ac:dyDescent="0.25"/>
    <row r="3991" s="1" customFormat="1" ht="15" x14ac:dyDescent="0.25"/>
    <row r="3992" s="1" customFormat="1" ht="15" x14ac:dyDescent="0.25"/>
    <row r="3993" s="1" customFormat="1" ht="15" x14ac:dyDescent="0.25"/>
    <row r="3994" s="1" customFormat="1" ht="15" x14ac:dyDescent="0.25"/>
    <row r="3995" s="1" customFormat="1" ht="15" x14ac:dyDescent="0.25"/>
    <row r="3996" s="1" customFormat="1" ht="15" x14ac:dyDescent="0.25"/>
    <row r="3997" s="1" customFormat="1" ht="15" x14ac:dyDescent="0.25"/>
    <row r="3998" s="1" customFormat="1" ht="15" x14ac:dyDescent="0.25"/>
    <row r="3999" s="1" customFormat="1" ht="15" x14ac:dyDescent="0.25"/>
    <row r="4000" s="1" customFormat="1" ht="15" x14ac:dyDescent="0.25"/>
    <row r="4001" s="1" customFormat="1" ht="15" x14ac:dyDescent="0.25"/>
    <row r="4002" s="1" customFormat="1" ht="15" x14ac:dyDescent="0.25"/>
    <row r="4003" s="1" customFormat="1" ht="15" x14ac:dyDescent="0.25"/>
    <row r="4004" s="1" customFormat="1" ht="15" x14ac:dyDescent="0.25"/>
    <row r="4005" s="1" customFormat="1" ht="15" x14ac:dyDescent="0.25"/>
    <row r="4006" s="1" customFormat="1" ht="15" x14ac:dyDescent="0.25"/>
    <row r="4007" s="1" customFormat="1" ht="15" x14ac:dyDescent="0.25"/>
    <row r="4008" s="1" customFormat="1" ht="15" x14ac:dyDescent="0.25"/>
    <row r="4009" s="1" customFormat="1" ht="15" x14ac:dyDescent="0.25"/>
    <row r="4010" s="1" customFormat="1" ht="15" x14ac:dyDescent="0.25"/>
    <row r="4011" s="1" customFormat="1" ht="15" x14ac:dyDescent="0.25"/>
    <row r="4012" s="1" customFormat="1" ht="15" x14ac:dyDescent="0.25"/>
    <row r="4013" s="1" customFormat="1" ht="15" x14ac:dyDescent="0.25"/>
    <row r="4014" s="1" customFormat="1" ht="15" x14ac:dyDescent="0.25"/>
    <row r="4015" s="1" customFormat="1" ht="15" x14ac:dyDescent="0.25"/>
    <row r="4016" s="1" customFormat="1" ht="15" x14ac:dyDescent="0.25"/>
    <row r="4017" s="1" customFormat="1" ht="15" x14ac:dyDescent="0.25"/>
    <row r="4018" s="1" customFormat="1" ht="15" x14ac:dyDescent="0.25"/>
    <row r="4019" s="1" customFormat="1" ht="15" x14ac:dyDescent="0.25"/>
    <row r="4020" s="1" customFormat="1" ht="15" x14ac:dyDescent="0.25"/>
    <row r="4021" s="1" customFormat="1" ht="15" x14ac:dyDescent="0.25"/>
    <row r="4022" s="1" customFormat="1" ht="15" x14ac:dyDescent="0.25"/>
    <row r="4023" s="1" customFormat="1" ht="15" x14ac:dyDescent="0.25"/>
    <row r="4024" s="1" customFormat="1" ht="15" x14ac:dyDescent="0.25"/>
    <row r="4025" s="1" customFormat="1" ht="15" x14ac:dyDescent="0.25"/>
    <row r="4026" s="1" customFormat="1" ht="15" x14ac:dyDescent="0.25"/>
    <row r="4027" s="1" customFormat="1" ht="15" x14ac:dyDescent="0.25"/>
    <row r="4028" s="1" customFormat="1" ht="15" x14ac:dyDescent="0.25"/>
    <row r="4029" s="1" customFormat="1" ht="15" x14ac:dyDescent="0.25"/>
    <row r="4030" s="1" customFormat="1" ht="15" x14ac:dyDescent="0.25"/>
    <row r="4031" s="1" customFormat="1" ht="15" x14ac:dyDescent="0.25"/>
    <row r="4032" s="1" customFormat="1" ht="15" x14ac:dyDescent="0.25"/>
    <row r="4033" s="1" customFormat="1" ht="15" x14ac:dyDescent="0.25"/>
    <row r="4034" s="1" customFormat="1" ht="15" x14ac:dyDescent="0.25"/>
    <row r="4035" s="1" customFormat="1" ht="15" x14ac:dyDescent="0.25"/>
    <row r="4036" s="1" customFormat="1" ht="15" x14ac:dyDescent="0.25"/>
    <row r="4037" s="1" customFormat="1" ht="15" x14ac:dyDescent="0.25"/>
    <row r="4038" s="1" customFormat="1" ht="15" x14ac:dyDescent="0.25"/>
    <row r="4039" s="1" customFormat="1" ht="15" x14ac:dyDescent="0.25"/>
    <row r="4040" s="1" customFormat="1" ht="15" x14ac:dyDescent="0.25"/>
    <row r="4041" s="1" customFormat="1" ht="15" x14ac:dyDescent="0.25"/>
    <row r="4042" s="1" customFormat="1" ht="15" x14ac:dyDescent="0.25"/>
    <row r="4043" s="1" customFormat="1" ht="15" x14ac:dyDescent="0.25"/>
    <row r="4044" s="1" customFormat="1" ht="15" x14ac:dyDescent="0.25"/>
    <row r="4045" s="1" customFormat="1" ht="15" x14ac:dyDescent="0.25"/>
    <row r="4046" s="1" customFormat="1" ht="15" x14ac:dyDescent="0.25"/>
    <row r="4047" s="1" customFormat="1" ht="15" x14ac:dyDescent="0.25"/>
    <row r="4048" s="1" customFormat="1" ht="15" x14ac:dyDescent="0.25"/>
    <row r="4049" s="1" customFormat="1" ht="15" x14ac:dyDescent="0.25"/>
    <row r="4050" s="1" customFormat="1" ht="15" x14ac:dyDescent="0.25"/>
    <row r="4051" s="1" customFormat="1" ht="15" x14ac:dyDescent="0.25"/>
    <row r="4052" s="1" customFormat="1" ht="15" x14ac:dyDescent="0.25"/>
    <row r="4053" s="1" customFormat="1" ht="15" x14ac:dyDescent="0.25"/>
    <row r="4054" s="1" customFormat="1" ht="15" x14ac:dyDescent="0.25"/>
    <row r="4055" s="1" customFormat="1" ht="15" x14ac:dyDescent="0.25"/>
    <row r="4056" s="1" customFormat="1" ht="15" x14ac:dyDescent="0.25"/>
    <row r="4057" s="1" customFormat="1" ht="15" x14ac:dyDescent="0.25"/>
    <row r="4058" s="1" customFormat="1" ht="15" x14ac:dyDescent="0.25"/>
    <row r="4059" s="1" customFormat="1" ht="15" x14ac:dyDescent="0.25"/>
    <row r="4060" s="1" customFormat="1" ht="15" x14ac:dyDescent="0.25"/>
    <row r="4061" s="1" customFormat="1" ht="15" x14ac:dyDescent="0.25"/>
    <row r="4062" s="1" customFormat="1" ht="15" x14ac:dyDescent="0.25"/>
    <row r="4063" s="1" customFormat="1" ht="15" x14ac:dyDescent="0.25"/>
    <row r="4064" s="1" customFormat="1" ht="15" x14ac:dyDescent="0.25"/>
    <row r="4065" s="1" customFormat="1" ht="15" x14ac:dyDescent="0.25"/>
    <row r="4066" s="1" customFormat="1" ht="15" x14ac:dyDescent="0.25"/>
    <row r="4067" s="1" customFormat="1" ht="15" x14ac:dyDescent="0.25"/>
    <row r="4068" s="1" customFormat="1" ht="15" x14ac:dyDescent="0.25"/>
    <row r="4069" s="1" customFormat="1" ht="15" x14ac:dyDescent="0.25"/>
    <row r="4070" s="1" customFormat="1" ht="15" x14ac:dyDescent="0.25"/>
    <row r="4071" s="1" customFormat="1" ht="15" x14ac:dyDescent="0.25"/>
    <row r="4072" s="1" customFormat="1" ht="15" x14ac:dyDescent="0.25"/>
    <row r="4073" s="1" customFormat="1" ht="15" x14ac:dyDescent="0.25"/>
    <row r="4074" s="1" customFormat="1" ht="15" x14ac:dyDescent="0.25"/>
    <row r="4075" s="1" customFormat="1" ht="15" x14ac:dyDescent="0.25"/>
    <row r="4076" s="1" customFormat="1" ht="15" x14ac:dyDescent="0.25"/>
    <row r="4077" s="1" customFormat="1" ht="15" x14ac:dyDescent="0.25"/>
    <row r="4078" s="1" customFormat="1" ht="15" x14ac:dyDescent="0.25"/>
    <row r="4079" s="1" customFormat="1" ht="15" x14ac:dyDescent="0.25"/>
    <row r="4080" s="1" customFormat="1" ht="15" x14ac:dyDescent="0.25"/>
    <row r="4081" s="1" customFormat="1" ht="15" x14ac:dyDescent="0.25"/>
    <row r="4082" s="1" customFormat="1" ht="15" x14ac:dyDescent="0.25"/>
    <row r="4083" s="1" customFormat="1" ht="15" x14ac:dyDescent="0.25"/>
    <row r="4084" s="1" customFormat="1" ht="15" x14ac:dyDescent="0.25"/>
    <row r="4085" s="1" customFormat="1" ht="15" x14ac:dyDescent="0.25"/>
    <row r="4086" s="1" customFormat="1" ht="15" x14ac:dyDescent="0.25"/>
    <row r="4087" s="1" customFormat="1" ht="15" x14ac:dyDescent="0.25"/>
    <row r="4088" s="1" customFormat="1" ht="15" x14ac:dyDescent="0.25"/>
    <row r="4089" s="1" customFormat="1" ht="15" x14ac:dyDescent="0.25"/>
    <row r="4090" s="1" customFormat="1" ht="15" x14ac:dyDescent="0.25"/>
    <row r="4091" s="1" customFormat="1" ht="15" x14ac:dyDescent="0.25"/>
    <row r="4092" s="1" customFormat="1" ht="15" x14ac:dyDescent="0.25"/>
    <row r="4093" s="1" customFormat="1" ht="15" x14ac:dyDescent="0.25"/>
    <row r="4094" s="1" customFormat="1" ht="15" x14ac:dyDescent="0.25"/>
    <row r="4095" s="1" customFormat="1" ht="15" x14ac:dyDescent="0.25"/>
    <row r="4096" s="1" customFormat="1" ht="15" x14ac:dyDescent="0.25"/>
    <row r="4097" s="1" customFormat="1" ht="15" x14ac:dyDescent="0.25"/>
    <row r="4098" s="1" customFormat="1" ht="15" x14ac:dyDescent="0.25"/>
    <row r="4099" s="1" customFormat="1" ht="15" x14ac:dyDescent="0.25"/>
    <row r="4100" s="1" customFormat="1" ht="15" x14ac:dyDescent="0.25"/>
    <row r="4101" s="1" customFormat="1" ht="15" x14ac:dyDescent="0.25"/>
    <row r="4102" s="1" customFormat="1" ht="15" x14ac:dyDescent="0.25"/>
    <row r="4103" s="1" customFormat="1" ht="15" x14ac:dyDescent="0.25"/>
    <row r="4104" s="1" customFormat="1" ht="15" x14ac:dyDescent="0.25"/>
    <row r="4105" s="1" customFormat="1" ht="15" x14ac:dyDescent="0.25"/>
    <row r="4106" s="1" customFormat="1" ht="15" x14ac:dyDescent="0.25"/>
    <row r="4107" s="1" customFormat="1" ht="15" x14ac:dyDescent="0.25"/>
    <row r="4108" s="1" customFormat="1" ht="15" x14ac:dyDescent="0.25"/>
    <row r="4109" s="1" customFormat="1" ht="15" x14ac:dyDescent="0.25"/>
    <row r="4110" s="1" customFormat="1" ht="15" x14ac:dyDescent="0.25"/>
    <row r="4111" s="1" customFormat="1" ht="15" x14ac:dyDescent="0.25"/>
    <row r="4112" s="1" customFormat="1" ht="15" x14ac:dyDescent="0.25"/>
    <row r="4113" s="1" customFormat="1" ht="15" x14ac:dyDescent="0.25"/>
    <row r="4114" s="1" customFormat="1" ht="15" x14ac:dyDescent="0.25"/>
    <row r="4115" s="1" customFormat="1" ht="15" x14ac:dyDescent="0.25"/>
    <row r="4116" s="1" customFormat="1" ht="15" x14ac:dyDescent="0.25"/>
    <row r="4117" s="1" customFormat="1" ht="15" x14ac:dyDescent="0.25"/>
    <row r="4118" s="1" customFormat="1" ht="15" x14ac:dyDescent="0.25"/>
    <row r="4119" s="1" customFormat="1" ht="15" x14ac:dyDescent="0.25"/>
    <row r="4120" s="1" customFormat="1" ht="15" x14ac:dyDescent="0.25"/>
    <row r="4121" s="1" customFormat="1" ht="15" x14ac:dyDescent="0.25"/>
    <row r="4122" s="1" customFormat="1" ht="15" x14ac:dyDescent="0.25"/>
    <row r="4123" s="1" customFormat="1" ht="15" x14ac:dyDescent="0.25"/>
    <row r="4124" s="1" customFormat="1" ht="15" x14ac:dyDescent="0.25"/>
    <row r="4125" s="1" customFormat="1" ht="15" x14ac:dyDescent="0.25"/>
    <row r="4126" s="1" customFormat="1" ht="15" x14ac:dyDescent="0.25"/>
    <row r="4127" s="1" customFormat="1" ht="15" x14ac:dyDescent="0.25"/>
    <row r="4128" s="1" customFormat="1" ht="15" x14ac:dyDescent="0.25"/>
    <row r="4129" s="1" customFormat="1" ht="15" x14ac:dyDescent="0.25"/>
    <row r="4130" s="1" customFormat="1" ht="15" x14ac:dyDescent="0.25"/>
    <row r="4131" s="1" customFormat="1" ht="15" x14ac:dyDescent="0.25"/>
    <row r="4132" s="1" customFormat="1" ht="15" x14ac:dyDescent="0.25"/>
    <row r="4133" s="1" customFormat="1" ht="15" x14ac:dyDescent="0.25"/>
    <row r="4134" s="1" customFormat="1" ht="15" x14ac:dyDescent="0.25"/>
    <row r="4135" s="1" customFormat="1" ht="15" x14ac:dyDescent="0.25"/>
    <row r="4136" s="1" customFormat="1" ht="15" x14ac:dyDescent="0.25"/>
    <row r="4137" s="1" customFormat="1" ht="15" x14ac:dyDescent="0.25"/>
    <row r="4138" s="1" customFormat="1" ht="15" x14ac:dyDescent="0.25"/>
    <row r="4139" s="1" customFormat="1" ht="15" x14ac:dyDescent="0.25"/>
    <row r="4140" s="1" customFormat="1" ht="15" x14ac:dyDescent="0.25"/>
    <row r="4141" s="1" customFormat="1" ht="15" x14ac:dyDescent="0.25"/>
    <row r="4142" s="1" customFormat="1" ht="15" x14ac:dyDescent="0.25"/>
    <row r="4143" s="1" customFormat="1" ht="15" x14ac:dyDescent="0.25"/>
    <row r="4144" s="1" customFormat="1" ht="15" x14ac:dyDescent="0.25"/>
    <row r="4145" s="1" customFormat="1" ht="15" x14ac:dyDescent="0.25"/>
    <row r="4146" s="1" customFormat="1" ht="15" x14ac:dyDescent="0.25"/>
    <row r="4147" s="1" customFormat="1" ht="15" x14ac:dyDescent="0.25"/>
    <row r="4148" s="1" customFormat="1" ht="15" x14ac:dyDescent="0.25"/>
    <row r="4149" s="1" customFormat="1" ht="15" x14ac:dyDescent="0.25"/>
    <row r="4150" s="1" customFormat="1" ht="15" x14ac:dyDescent="0.25"/>
    <row r="4151" s="1" customFormat="1" ht="15" x14ac:dyDescent="0.25"/>
    <row r="4152" s="1" customFormat="1" ht="15" x14ac:dyDescent="0.25"/>
    <row r="4153" s="1" customFormat="1" ht="15" x14ac:dyDescent="0.25"/>
    <row r="4154" s="1" customFormat="1" ht="15" x14ac:dyDescent="0.25"/>
    <row r="4155" s="1" customFormat="1" ht="15" x14ac:dyDescent="0.25"/>
    <row r="4156" s="1" customFormat="1" ht="15" x14ac:dyDescent="0.25"/>
    <row r="4157" s="1" customFormat="1" ht="15" x14ac:dyDescent="0.25"/>
    <row r="4158" s="1" customFormat="1" ht="15" x14ac:dyDescent="0.25"/>
    <row r="4159" s="1" customFormat="1" ht="15" x14ac:dyDescent="0.25"/>
    <row r="4160" s="1" customFormat="1" ht="15" x14ac:dyDescent="0.25"/>
    <row r="4161" s="1" customFormat="1" ht="15" x14ac:dyDescent="0.25"/>
    <row r="4162" s="1" customFormat="1" ht="15" x14ac:dyDescent="0.25"/>
    <row r="4163" s="1" customFormat="1" ht="15" x14ac:dyDescent="0.25"/>
    <row r="4164" s="1" customFormat="1" ht="15" x14ac:dyDescent="0.25"/>
    <row r="4165" s="1" customFormat="1" ht="15" x14ac:dyDescent="0.25"/>
    <row r="4166" s="1" customFormat="1" ht="15" x14ac:dyDescent="0.25"/>
    <row r="4167" s="1" customFormat="1" ht="15" x14ac:dyDescent="0.25"/>
    <row r="4168" s="1" customFormat="1" ht="15" x14ac:dyDescent="0.25"/>
    <row r="4169" s="1" customFormat="1" ht="15" x14ac:dyDescent="0.25"/>
    <row r="4170" s="1" customFormat="1" ht="15" x14ac:dyDescent="0.25"/>
    <row r="4171" s="1" customFormat="1" ht="15" x14ac:dyDescent="0.25"/>
    <row r="4172" s="1" customFormat="1" ht="15" x14ac:dyDescent="0.25"/>
    <row r="4173" s="1" customFormat="1" ht="15" x14ac:dyDescent="0.25"/>
    <row r="4174" s="1" customFormat="1" ht="15" x14ac:dyDescent="0.25"/>
    <row r="4175" s="1" customFormat="1" ht="15" x14ac:dyDescent="0.25"/>
    <row r="4176" s="1" customFormat="1" ht="15" x14ac:dyDescent="0.25"/>
    <row r="4177" s="1" customFormat="1" ht="15" x14ac:dyDescent="0.25"/>
    <row r="4178" s="1" customFormat="1" ht="15" x14ac:dyDescent="0.25"/>
    <row r="4179" s="1" customFormat="1" ht="15" x14ac:dyDescent="0.25"/>
    <row r="4180" s="1" customFormat="1" ht="15" x14ac:dyDescent="0.25"/>
    <row r="4181" s="1" customFormat="1" ht="15" x14ac:dyDescent="0.25"/>
    <row r="4182" s="1" customFormat="1" ht="15" x14ac:dyDescent="0.25"/>
    <row r="4183" s="1" customFormat="1" ht="15" x14ac:dyDescent="0.25"/>
    <row r="4184" s="1" customFormat="1" ht="15" x14ac:dyDescent="0.25"/>
    <row r="4185" s="1" customFormat="1" ht="15" x14ac:dyDescent="0.25"/>
    <row r="4186" s="1" customFormat="1" ht="15" x14ac:dyDescent="0.25"/>
    <row r="4187" s="1" customFormat="1" ht="15" x14ac:dyDescent="0.25"/>
    <row r="4188" s="1" customFormat="1" ht="15" x14ac:dyDescent="0.25"/>
    <row r="4189" s="1" customFormat="1" ht="15" x14ac:dyDescent="0.25"/>
    <row r="4190" s="1" customFormat="1" ht="15" x14ac:dyDescent="0.25"/>
    <row r="4191" s="1" customFormat="1" ht="15" x14ac:dyDescent="0.25"/>
    <row r="4192" s="1" customFormat="1" ht="15" x14ac:dyDescent="0.25"/>
    <row r="4193" s="1" customFormat="1" ht="15" x14ac:dyDescent="0.25"/>
    <row r="4194" s="1" customFormat="1" ht="15" x14ac:dyDescent="0.25"/>
    <row r="4195" s="1" customFormat="1" ht="15" x14ac:dyDescent="0.25"/>
    <row r="4196" s="1" customFormat="1" ht="15" x14ac:dyDescent="0.25"/>
    <row r="4197" s="1" customFormat="1" ht="15" x14ac:dyDescent="0.25"/>
    <row r="4198" s="1" customFormat="1" ht="15" x14ac:dyDescent="0.25"/>
    <row r="4199" s="1" customFormat="1" ht="15" x14ac:dyDescent="0.25"/>
    <row r="4200" s="1" customFormat="1" ht="15" x14ac:dyDescent="0.25"/>
    <row r="4201" s="1" customFormat="1" ht="15" x14ac:dyDescent="0.25"/>
    <row r="4202" s="1" customFormat="1" ht="15" x14ac:dyDescent="0.25"/>
    <row r="4203" s="1" customFormat="1" ht="15" x14ac:dyDescent="0.25"/>
    <row r="4204" s="1" customFormat="1" ht="15" x14ac:dyDescent="0.25"/>
    <row r="4205" s="1" customFormat="1" ht="15" x14ac:dyDescent="0.25"/>
    <row r="4206" s="1" customFormat="1" ht="15" x14ac:dyDescent="0.25"/>
    <row r="4207" s="1" customFormat="1" ht="15" x14ac:dyDescent="0.25"/>
    <row r="4208" s="1" customFormat="1" ht="15" x14ac:dyDescent="0.25"/>
    <row r="4209" s="1" customFormat="1" ht="15" x14ac:dyDescent="0.25"/>
    <row r="4210" s="1" customFormat="1" ht="15" x14ac:dyDescent="0.25"/>
    <row r="4211" s="1" customFormat="1" ht="15" x14ac:dyDescent="0.25"/>
    <row r="4212" s="1" customFormat="1" ht="15" x14ac:dyDescent="0.25"/>
    <row r="4213" s="1" customFormat="1" ht="15" x14ac:dyDescent="0.25"/>
    <row r="4214" s="1" customFormat="1" ht="15" x14ac:dyDescent="0.25"/>
    <row r="4215" s="1" customFormat="1" ht="15" x14ac:dyDescent="0.25"/>
    <row r="4216" s="1" customFormat="1" ht="15" x14ac:dyDescent="0.25"/>
    <row r="4217" s="1" customFormat="1" ht="15" x14ac:dyDescent="0.25"/>
    <row r="4218" s="1" customFormat="1" ht="15" x14ac:dyDescent="0.25"/>
    <row r="4219" s="1" customFormat="1" ht="15" x14ac:dyDescent="0.25"/>
    <row r="4220" s="1" customFormat="1" ht="15" x14ac:dyDescent="0.25"/>
    <row r="4221" s="1" customFormat="1" ht="15" x14ac:dyDescent="0.25"/>
    <row r="4222" s="1" customFormat="1" ht="15" x14ac:dyDescent="0.25"/>
    <row r="4223" s="1" customFormat="1" ht="15" x14ac:dyDescent="0.25"/>
    <row r="4224" s="1" customFormat="1" ht="15" x14ac:dyDescent="0.25"/>
    <row r="4225" s="1" customFormat="1" ht="15" x14ac:dyDescent="0.25"/>
    <row r="4226" s="1" customFormat="1" ht="15" x14ac:dyDescent="0.25"/>
    <row r="4227" s="1" customFormat="1" ht="15" x14ac:dyDescent="0.25"/>
    <row r="4228" s="1" customFormat="1" ht="15" x14ac:dyDescent="0.25"/>
    <row r="4229" s="1" customFormat="1" ht="15" x14ac:dyDescent="0.25"/>
    <row r="4230" s="1" customFormat="1" ht="15" x14ac:dyDescent="0.25"/>
    <row r="4231" s="1" customFormat="1" ht="15" x14ac:dyDescent="0.25"/>
    <row r="4232" s="1" customFormat="1" ht="15" x14ac:dyDescent="0.25"/>
    <row r="4233" s="1" customFormat="1" ht="15" x14ac:dyDescent="0.25"/>
    <row r="4234" s="1" customFormat="1" ht="15" x14ac:dyDescent="0.25"/>
    <row r="4235" s="1" customFormat="1" ht="15" x14ac:dyDescent="0.25"/>
    <row r="4236" s="1" customFormat="1" ht="15" x14ac:dyDescent="0.25"/>
    <row r="4237" s="1" customFormat="1" ht="15" x14ac:dyDescent="0.25"/>
    <row r="4238" s="1" customFormat="1" ht="15" x14ac:dyDescent="0.25"/>
    <row r="4239" s="1" customFormat="1" ht="15" x14ac:dyDescent="0.25"/>
    <row r="4240" s="1" customFormat="1" ht="15" x14ac:dyDescent="0.25"/>
    <row r="4241" s="1" customFormat="1" ht="15" x14ac:dyDescent="0.25"/>
    <row r="4242" s="1" customFormat="1" ht="15" x14ac:dyDescent="0.25"/>
    <row r="4243" s="1" customFormat="1" ht="15" x14ac:dyDescent="0.25"/>
    <row r="4244" s="1" customFormat="1" ht="15" x14ac:dyDescent="0.25"/>
    <row r="4245" s="1" customFormat="1" ht="15" x14ac:dyDescent="0.25"/>
    <row r="4246" s="1" customFormat="1" ht="15" x14ac:dyDescent="0.25"/>
    <row r="4247" s="1" customFormat="1" ht="15" x14ac:dyDescent="0.25"/>
    <row r="4248" s="1" customFormat="1" ht="15" x14ac:dyDescent="0.25"/>
    <row r="4249" s="1" customFormat="1" ht="15" x14ac:dyDescent="0.25"/>
    <row r="4250" s="1" customFormat="1" ht="15" x14ac:dyDescent="0.25"/>
    <row r="4251" s="1" customFormat="1" ht="15" x14ac:dyDescent="0.25"/>
    <row r="4252" s="1" customFormat="1" ht="15" x14ac:dyDescent="0.25"/>
    <row r="4253" s="1" customFormat="1" ht="15" x14ac:dyDescent="0.25"/>
    <row r="4254" s="1" customFormat="1" ht="15" x14ac:dyDescent="0.25"/>
    <row r="4255" s="1" customFormat="1" ht="15" x14ac:dyDescent="0.25"/>
    <row r="4256" s="1" customFormat="1" ht="15" x14ac:dyDescent="0.25"/>
    <row r="4257" s="1" customFormat="1" ht="15" x14ac:dyDescent="0.25"/>
    <row r="4258" s="1" customFormat="1" ht="15" x14ac:dyDescent="0.25"/>
    <row r="4259" s="1" customFormat="1" ht="15" x14ac:dyDescent="0.25"/>
    <row r="4260" s="1" customFormat="1" ht="15" x14ac:dyDescent="0.25"/>
    <row r="4261" s="1" customFormat="1" ht="15" x14ac:dyDescent="0.25"/>
    <row r="4262" s="1" customFormat="1" ht="15" x14ac:dyDescent="0.25"/>
    <row r="4263" s="1" customFormat="1" ht="15" x14ac:dyDescent="0.25"/>
    <row r="4264" s="1" customFormat="1" ht="15" x14ac:dyDescent="0.25"/>
    <row r="4265" s="1" customFormat="1" ht="15" x14ac:dyDescent="0.25"/>
    <row r="4266" s="1" customFormat="1" ht="15" x14ac:dyDescent="0.25"/>
    <row r="4267" s="1" customFormat="1" ht="15" x14ac:dyDescent="0.25"/>
    <row r="4268" s="1" customFormat="1" ht="15" x14ac:dyDescent="0.25"/>
    <row r="4269" s="1" customFormat="1" ht="15" x14ac:dyDescent="0.25"/>
    <row r="4270" s="1" customFormat="1" ht="15" x14ac:dyDescent="0.25"/>
    <row r="4271" s="1" customFormat="1" ht="15" x14ac:dyDescent="0.25"/>
    <row r="4272" s="1" customFormat="1" ht="15" x14ac:dyDescent="0.25"/>
    <row r="4273" s="1" customFormat="1" ht="15" x14ac:dyDescent="0.25"/>
    <row r="4274" s="1" customFormat="1" ht="15" x14ac:dyDescent="0.25"/>
    <row r="4275" s="1" customFormat="1" ht="15" x14ac:dyDescent="0.25"/>
    <row r="4276" s="1" customFormat="1" ht="15" x14ac:dyDescent="0.25"/>
    <row r="4277" s="1" customFormat="1" ht="15" x14ac:dyDescent="0.25"/>
    <row r="4278" s="1" customFormat="1" ht="15" x14ac:dyDescent="0.25"/>
    <row r="4279" s="1" customFormat="1" ht="15" x14ac:dyDescent="0.25"/>
    <row r="4280" s="1" customFormat="1" ht="15" x14ac:dyDescent="0.25"/>
    <row r="4281" s="1" customFormat="1" ht="15" x14ac:dyDescent="0.25"/>
    <row r="4282" s="1" customFormat="1" ht="15" x14ac:dyDescent="0.25"/>
    <row r="4283" s="1" customFormat="1" ht="15" x14ac:dyDescent="0.25"/>
    <row r="4284" s="1" customFormat="1" ht="15" x14ac:dyDescent="0.25"/>
    <row r="4285" s="1" customFormat="1" ht="15" x14ac:dyDescent="0.25"/>
    <row r="4286" s="1" customFormat="1" ht="15" x14ac:dyDescent="0.25"/>
    <row r="4287" s="1" customFormat="1" ht="15" x14ac:dyDescent="0.25"/>
    <row r="4288" s="1" customFormat="1" ht="15" x14ac:dyDescent="0.25"/>
    <row r="4289" s="1" customFormat="1" ht="15" x14ac:dyDescent="0.25"/>
    <row r="4290" s="1" customFormat="1" ht="15" x14ac:dyDescent="0.25"/>
    <row r="4291" s="1" customFormat="1" ht="15" x14ac:dyDescent="0.25"/>
    <row r="4292" s="1" customFormat="1" ht="15" x14ac:dyDescent="0.25"/>
    <row r="4293" s="1" customFormat="1" ht="15" x14ac:dyDescent="0.25"/>
    <row r="4294" s="1" customFormat="1" ht="15" x14ac:dyDescent="0.25"/>
    <row r="4295" s="1" customFormat="1" ht="15" x14ac:dyDescent="0.25"/>
    <row r="4296" s="1" customFormat="1" ht="15" x14ac:dyDescent="0.25"/>
    <row r="4297" s="1" customFormat="1" ht="15" x14ac:dyDescent="0.25"/>
    <row r="4298" s="1" customFormat="1" ht="15" x14ac:dyDescent="0.25"/>
    <row r="4299" s="1" customFormat="1" ht="15" x14ac:dyDescent="0.25"/>
    <row r="4300" s="1" customFormat="1" ht="15" x14ac:dyDescent="0.25"/>
    <row r="4301" s="1" customFormat="1" ht="15" x14ac:dyDescent="0.25"/>
    <row r="4302" s="1" customFormat="1" ht="15" x14ac:dyDescent="0.25"/>
    <row r="4303" s="1" customFormat="1" ht="15" x14ac:dyDescent="0.25"/>
    <row r="4304" s="1" customFormat="1" ht="15" x14ac:dyDescent="0.25"/>
    <row r="4305" s="1" customFormat="1" ht="15" x14ac:dyDescent="0.25"/>
    <row r="4306" s="1" customFormat="1" ht="15" x14ac:dyDescent="0.25"/>
    <row r="4307" s="1" customFormat="1" ht="15" x14ac:dyDescent="0.25"/>
    <row r="4308" s="1" customFormat="1" ht="15" x14ac:dyDescent="0.25"/>
    <row r="4309" s="1" customFormat="1" ht="15" x14ac:dyDescent="0.25"/>
    <row r="4310" s="1" customFormat="1" ht="15" x14ac:dyDescent="0.25"/>
    <row r="4311" s="1" customFormat="1" ht="15" x14ac:dyDescent="0.25"/>
    <row r="4312" s="1" customFormat="1" ht="15" x14ac:dyDescent="0.25"/>
    <row r="4313" s="1" customFormat="1" ht="15" x14ac:dyDescent="0.25"/>
    <row r="4314" s="1" customFormat="1" ht="15" x14ac:dyDescent="0.25"/>
    <row r="4315" s="1" customFormat="1" ht="15" x14ac:dyDescent="0.25"/>
    <row r="4316" s="1" customFormat="1" ht="15" x14ac:dyDescent="0.25"/>
    <row r="4317" s="1" customFormat="1" ht="15" x14ac:dyDescent="0.25"/>
    <row r="4318" s="1" customFormat="1" ht="15" x14ac:dyDescent="0.25"/>
    <row r="4319" s="1" customFormat="1" ht="15" x14ac:dyDescent="0.25"/>
    <row r="4320" s="1" customFormat="1" ht="15" x14ac:dyDescent="0.25"/>
    <row r="4321" s="1" customFormat="1" ht="15" x14ac:dyDescent="0.25"/>
    <row r="4322" s="1" customFormat="1" ht="15" x14ac:dyDescent="0.25"/>
    <row r="4323" s="1" customFormat="1" ht="15" x14ac:dyDescent="0.25"/>
    <row r="4324" s="1" customFormat="1" ht="15" x14ac:dyDescent="0.25"/>
    <row r="4325" s="1" customFormat="1" ht="15" x14ac:dyDescent="0.25"/>
    <row r="4326" s="1" customFormat="1" ht="15" x14ac:dyDescent="0.25"/>
    <row r="4327" s="1" customFormat="1" ht="15" x14ac:dyDescent="0.25"/>
    <row r="4328" s="1" customFormat="1" ht="15" x14ac:dyDescent="0.25"/>
    <row r="4329" s="1" customFormat="1" ht="15" x14ac:dyDescent="0.25"/>
    <row r="4330" s="1" customFormat="1" ht="15" x14ac:dyDescent="0.25"/>
    <row r="4331" s="1" customFormat="1" ht="15" x14ac:dyDescent="0.25"/>
    <row r="4332" s="1" customFormat="1" ht="15" x14ac:dyDescent="0.25"/>
    <row r="4333" s="1" customFormat="1" ht="15" x14ac:dyDescent="0.25"/>
    <row r="4334" s="1" customFormat="1" ht="15" x14ac:dyDescent="0.25"/>
    <row r="4335" s="1" customFormat="1" ht="15" x14ac:dyDescent="0.25"/>
    <row r="4336" s="1" customFormat="1" ht="15" x14ac:dyDescent="0.25"/>
    <row r="4337" s="1" customFormat="1" ht="15" x14ac:dyDescent="0.25"/>
    <row r="4338" s="1" customFormat="1" ht="15" x14ac:dyDescent="0.25"/>
    <row r="4339" s="1" customFormat="1" ht="15" x14ac:dyDescent="0.25"/>
    <row r="4340" s="1" customFormat="1" ht="15" x14ac:dyDescent="0.25"/>
    <row r="4341" s="1" customFormat="1" ht="15" x14ac:dyDescent="0.25"/>
    <row r="4342" s="1" customFormat="1" ht="15" x14ac:dyDescent="0.25"/>
    <row r="4343" s="1" customFormat="1" ht="15" x14ac:dyDescent="0.25"/>
    <row r="4344" s="1" customFormat="1" ht="15" x14ac:dyDescent="0.25"/>
    <row r="4345" s="1" customFormat="1" ht="15" x14ac:dyDescent="0.25"/>
    <row r="4346" s="1" customFormat="1" ht="15" x14ac:dyDescent="0.25"/>
    <row r="4347" s="1" customFormat="1" ht="15" x14ac:dyDescent="0.25"/>
    <row r="4348" s="1" customFormat="1" ht="15" x14ac:dyDescent="0.25"/>
    <row r="4349" s="1" customFormat="1" ht="15" x14ac:dyDescent="0.25"/>
    <row r="4350" s="1" customFormat="1" ht="15" x14ac:dyDescent="0.25"/>
    <row r="4351" s="1" customFormat="1" ht="15" x14ac:dyDescent="0.25"/>
    <row r="4352" s="1" customFormat="1" ht="15" x14ac:dyDescent="0.25"/>
    <row r="4353" s="1" customFormat="1" ht="15" x14ac:dyDescent="0.25"/>
    <row r="4354" s="1" customFormat="1" ht="15" x14ac:dyDescent="0.25"/>
    <row r="4355" s="1" customFormat="1" ht="15" x14ac:dyDescent="0.25"/>
    <row r="4356" s="1" customFormat="1" ht="15" x14ac:dyDescent="0.25"/>
    <row r="4357" s="1" customFormat="1" ht="15" x14ac:dyDescent="0.25"/>
    <row r="4358" s="1" customFormat="1" ht="15" x14ac:dyDescent="0.25"/>
    <row r="4359" s="1" customFormat="1" ht="15" x14ac:dyDescent="0.25"/>
    <row r="4360" s="1" customFormat="1" ht="15" x14ac:dyDescent="0.25"/>
    <row r="4361" s="1" customFormat="1" ht="15" x14ac:dyDescent="0.25"/>
    <row r="4362" s="1" customFormat="1" ht="15" x14ac:dyDescent="0.25"/>
    <row r="4363" s="1" customFormat="1" ht="15" x14ac:dyDescent="0.25"/>
    <row r="4364" s="1" customFormat="1" ht="15" x14ac:dyDescent="0.25"/>
    <row r="4365" s="1" customFormat="1" ht="15" x14ac:dyDescent="0.25"/>
    <row r="4366" s="1" customFormat="1" ht="15" x14ac:dyDescent="0.25"/>
    <row r="4367" s="1" customFormat="1" ht="15" x14ac:dyDescent="0.25"/>
    <row r="4368" s="1" customFormat="1" ht="15" x14ac:dyDescent="0.25"/>
    <row r="4369" s="1" customFormat="1" ht="15" x14ac:dyDescent="0.25"/>
    <row r="4370" s="1" customFormat="1" ht="15" x14ac:dyDescent="0.25"/>
    <row r="4371" s="1" customFormat="1" ht="15" x14ac:dyDescent="0.25"/>
    <row r="4372" s="1" customFormat="1" ht="15" x14ac:dyDescent="0.25"/>
    <row r="4373" s="1" customFormat="1" ht="15" x14ac:dyDescent="0.25"/>
    <row r="4374" s="1" customFormat="1" ht="15" x14ac:dyDescent="0.25"/>
    <row r="4375" s="1" customFormat="1" ht="15" x14ac:dyDescent="0.25"/>
    <row r="4376" s="1" customFormat="1" ht="15" x14ac:dyDescent="0.25"/>
    <row r="4377" s="1" customFormat="1" ht="15" x14ac:dyDescent="0.25"/>
    <row r="4378" s="1" customFormat="1" ht="15" x14ac:dyDescent="0.25"/>
    <row r="4379" s="1" customFormat="1" ht="15" x14ac:dyDescent="0.25"/>
    <row r="4380" s="1" customFormat="1" ht="15" x14ac:dyDescent="0.25"/>
    <row r="4381" s="1" customFormat="1" ht="15" x14ac:dyDescent="0.25"/>
    <row r="4382" s="1" customFormat="1" ht="15" x14ac:dyDescent="0.25"/>
    <row r="4383" s="1" customFormat="1" ht="15" x14ac:dyDescent="0.25"/>
    <row r="4384" s="1" customFormat="1" ht="15" x14ac:dyDescent="0.25"/>
    <row r="4385" s="1" customFormat="1" ht="15" x14ac:dyDescent="0.25"/>
    <row r="4386" s="1" customFormat="1" ht="15" x14ac:dyDescent="0.25"/>
    <row r="4387" s="1" customFormat="1" ht="15" x14ac:dyDescent="0.25"/>
    <row r="4388" s="1" customFormat="1" ht="15" x14ac:dyDescent="0.25"/>
    <row r="4389" s="1" customFormat="1" ht="15" x14ac:dyDescent="0.25"/>
    <row r="4390" s="1" customFormat="1" ht="15" x14ac:dyDescent="0.25"/>
    <row r="4391" s="1" customFormat="1" ht="15" x14ac:dyDescent="0.25"/>
    <row r="4392" s="1" customFormat="1" ht="15" x14ac:dyDescent="0.25"/>
    <row r="4393" s="1" customFormat="1" ht="15" x14ac:dyDescent="0.25"/>
    <row r="4394" s="1" customFormat="1" ht="15" x14ac:dyDescent="0.25"/>
    <row r="4395" s="1" customFormat="1" ht="15" x14ac:dyDescent="0.25"/>
    <row r="4396" s="1" customFormat="1" ht="15" x14ac:dyDescent="0.25"/>
    <row r="4397" s="1" customFormat="1" ht="15" x14ac:dyDescent="0.25"/>
    <row r="4398" s="1" customFormat="1" ht="15" x14ac:dyDescent="0.25"/>
    <row r="4399" s="1" customFormat="1" ht="15" x14ac:dyDescent="0.25"/>
    <row r="4400" s="1" customFormat="1" ht="15" x14ac:dyDescent="0.25"/>
    <row r="4401" s="1" customFormat="1" ht="15" x14ac:dyDescent="0.25"/>
    <row r="4402" s="1" customFormat="1" ht="15" x14ac:dyDescent="0.25"/>
    <row r="4403" s="1" customFormat="1" ht="15" x14ac:dyDescent="0.25"/>
    <row r="4404" s="1" customFormat="1" ht="15" x14ac:dyDescent="0.25"/>
    <row r="4405" s="1" customFormat="1" ht="15" x14ac:dyDescent="0.25"/>
    <row r="4406" s="1" customFormat="1" ht="15" x14ac:dyDescent="0.25"/>
    <row r="4407" s="1" customFormat="1" ht="15" x14ac:dyDescent="0.25"/>
    <row r="4408" s="1" customFormat="1" ht="15" x14ac:dyDescent="0.25"/>
    <row r="4409" s="1" customFormat="1" ht="15" x14ac:dyDescent="0.25"/>
    <row r="4410" s="1" customFormat="1" ht="15" x14ac:dyDescent="0.25"/>
    <row r="4411" s="1" customFormat="1" ht="15" x14ac:dyDescent="0.25"/>
    <row r="4412" s="1" customFormat="1" ht="15" x14ac:dyDescent="0.25"/>
    <row r="4413" s="1" customFormat="1" ht="15" x14ac:dyDescent="0.25"/>
    <row r="4414" s="1" customFormat="1" ht="15" x14ac:dyDescent="0.25"/>
    <row r="4415" s="1" customFormat="1" ht="15" x14ac:dyDescent="0.25"/>
    <row r="4416" s="1" customFormat="1" ht="15" x14ac:dyDescent="0.25"/>
    <row r="4417" s="1" customFormat="1" ht="15" x14ac:dyDescent="0.25"/>
    <row r="4418" s="1" customFormat="1" ht="15" x14ac:dyDescent="0.25"/>
    <row r="4419" s="1" customFormat="1" ht="15" x14ac:dyDescent="0.25"/>
    <row r="4420" s="1" customFormat="1" ht="15" x14ac:dyDescent="0.25"/>
    <row r="4421" s="1" customFormat="1" ht="15" x14ac:dyDescent="0.25"/>
    <row r="4422" s="1" customFormat="1" ht="15" x14ac:dyDescent="0.25"/>
    <row r="4423" s="1" customFormat="1" ht="15" x14ac:dyDescent="0.25"/>
    <row r="4424" s="1" customFormat="1" ht="15" x14ac:dyDescent="0.25"/>
    <row r="4425" s="1" customFormat="1" ht="15" x14ac:dyDescent="0.25"/>
    <row r="4426" s="1" customFormat="1" ht="15" x14ac:dyDescent="0.25"/>
    <row r="4427" s="1" customFormat="1" ht="15" x14ac:dyDescent="0.25"/>
    <row r="4428" s="1" customFormat="1" ht="15" x14ac:dyDescent="0.25"/>
    <row r="4429" s="1" customFormat="1" ht="15" x14ac:dyDescent="0.25"/>
    <row r="4430" s="1" customFormat="1" ht="15" x14ac:dyDescent="0.25"/>
    <row r="4431" s="1" customFormat="1" ht="15" x14ac:dyDescent="0.25"/>
    <row r="4432" s="1" customFormat="1" ht="15" x14ac:dyDescent="0.25"/>
    <row r="4433" s="1" customFormat="1" ht="15" x14ac:dyDescent="0.25"/>
    <row r="4434" s="1" customFormat="1" ht="15" x14ac:dyDescent="0.25"/>
    <row r="4435" s="1" customFormat="1" ht="15" x14ac:dyDescent="0.25"/>
    <row r="4436" s="1" customFormat="1" ht="15" x14ac:dyDescent="0.25"/>
    <row r="4437" s="1" customFormat="1" ht="15" x14ac:dyDescent="0.25"/>
    <row r="4438" s="1" customFormat="1" ht="15" x14ac:dyDescent="0.25"/>
    <row r="4439" s="1" customFormat="1" ht="15" x14ac:dyDescent="0.25"/>
    <row r="4440" s="1" customFormat="1" ht="15" x14ac:dyDescent="0.25"/>
    <row r="4441" s="1" customFormat="1" ht="15" x14ac:dyDescent="0.25"/>
    <row r="4442" s="1" customFormat="1" ht="15" x14ac:dyDescent="0.25"/>
    <row r="4443" s="1" customFormat="1" ht="15" x14ac:dyDescent="0.25"/>
    <row r="4444" s="1" customFormat="1" ht="15" x14ac:dyDescent="0.25"/>
    <row r="4445" s="1" customFormat="1" ht="15" x14ac:dyDescent="0.25"/>
    <row r="4446" s="1" customFormat="1" ht="15" x14ac:dyDescent="0.25"/>
    <row r="4447" s="1" customFormat="1" ht="15" x14ac:dyDescent="0.25"/>
    <row r="4448" s="1" customFormat="1" ht="15" x14ac:dyDescent="0.25"/>
    <row r="4449" s="1" customFormat="1" ht="15" x14ac:dyDescent="0.25"/>
    <row r="4450" s="1" customFormat="1" ht="15" x14ac:dyDescent="0.25"/>
    <row r="4451" s="1" customFormat="1" ht="15" x14ac:dyDescent="0.25"/>
    <row r="4452" s="1" customFormat="1" ht="15" x14ac:dyDescent="0.25"/>
    <row r="4453" s="1" customFormat="1" ht="15" x14ac:dyDescent="0.25"/>
    <row r="4454" s="1" customFormat="1" ht="15" x14ac:dyDescent="0.25"/>
    <row r="4455" s="1" customFormat="1" ht="15" x14ac:dyDescent="0.25"/>
    <row r="4456" s="1" customFormat="1" ht="15" x14ac:dyDescent="0.25"/>
    <row r="4457" s="1" customFormat="1" ht="15" x14ac:dyDescent="0.25"/>
    <row r="4458" s="1" customFormat="1" ht="15" x14ac:dyDescent="0.25"/>
    <row r="4459" s="1" customFormat="1" ht="15" x14ac:dyDescent="0.25"/>
    <row r="4460" s="1" customFormat="1" ht="15" x14ac:dyDescent="0.25"/>
    <row r="4461" s="1" customFormat="1" ht="15" x14ac:dyDescent="0.25"/>
    <row r="4462" s="1" customFormat="1" ht="15" x14ac:dyDescent="0.25"/>
    <row r="4463" s="1" customFormat="1" ht="15" x14ac:dyDescent="0.25"/>
    <row r="4464" s="1" customFormat="1" ht="15" x14ac:dyDescent="0.25"/>
    <row r="4465" s="1" customFormat="1" ht="15" x14ac:dyDescent="0.25"/>
    <row r="4466" s="1" customFormat="1" ht="15" x14ac:dyDescent="0.25"/>
    <row r="4467" s="1" customFormat="1" ht="15" x14ac:dyDescent="0.25"/>
    <row r="4468" s="1" customFormat="1" ht="15" x14ac:dyDescent="0.25"/>
    <row r="4469" s="1" customFormat="1" ht="15" x14ac:dyDescent="0.25"/>
    <row r="4470" s="1" customFormat="1" ht="15" x14ac:dyDescent="0.25"/>
    <row r="4471" s="1" customFormat="1" ht="15" x14ac:dyDescent="0.25"/>
    <row r="4472" s="1" customFormat="1" ht="15" x14ac:dyDescent="0.25"/>
    <row r="4473" s="1" customFormat="1" ht="15" x14ac:dyDescent="0.25"/>
    <row r="4474" s="1" customFormat="1" ht="15" x14ac:dyDescent="0.25"/>
    <row r="4475" s="1" customFormat="1" ht="15" x14ac:dyDescent="0.25"/>
    <row r="4476" s="1" customFormat="1" ht="15" x14ac:dyDescent="0.25"/>
    <row r="4477" s="1" customFormat="1" ht="15" x14ac:dyDescent="0.25"/>
    <row r="4478" s="1" customFormat="1" ht="15" x14ac:dyDescent="0.25"/>
    <row r="4479" s="1" customFormat="1" ht="15" x14ac:dyDescent="0.25"/>
    <row r="4480" s="1" customFormat="1" ht="15" x14ac:dyDescent="0.25"/>
    <row r="4481" s="1" customFormat="1" ht="15" x14ac:dyDescent="0.25"/>
    <row r="4482" s="1" customFormat="1" ht="15" x14ac:dyDescent="0.25"/>
    <row r="4483" s="1" customFormat="1" ht="15" x14ac:dyDescent="0.25"/>
    <row r="4484" s="1" customFormat="1" ht="15" x14ac:dyDescent="0.25"/>
    <row r="4485" s="1" customFormat="1" ht="15" x14ac:dyDescent="0.25"/>
    <row r="4486" s="1" customFormat="1" ht="15" x14ac:dyDescent="0.25"/>
    <row r="4487" s="1" customFormat="1" ht="15" x14ac:dyDescent="0.25"/>
    <row r="4488" s="1" customFormat="1" ht="15" x14ac:dyDescent="0.25"/>
    <row r="4489" s="1" customFormat="1" ht="15" x14ac:dyDescent="0.25"/>
    <row r="4490" s="1" customFormat="1" ht="15" x14ac:dyDescent="0.25"/>
    <row r="4491" s="1" customFormat="1" ht="15" x14ac:dyDescent="0.25"/>
    <row r="4492" s="1" customFormat="1" ht="15" x14ac:dyDescent="0.25"/>
    <row r="4493" s="1" customFormat="1" ht="15" x14ac:dyDescent="0.25"/>
    <row r="4494" s="1" customFormat="1" ht="15" x14ac:dyDescent="0.25"/>
    <row r="4495" s="1" customFormat="1" ht="15" x14ac:dyDescent="0.25"/>
    <row r="4496" s="1" customFormat="1" ht="15" x14ac:dyDescent="0.25"/>
    <row r="4497" s="1" customFormat="1" ht="15" x14ac:dyDescent="0.25"/>
    <row r="4498" s="1" customFormat="1" ht="15" x14ac:dyDescent="0.25"/>
    <row r="4499" s="1" customFormat="1" ht="15" x14ac:dyDescent="0.25"/>
    <row r="4500" s="1" customFormat="1" ht="15" x14ac:dyDescent="0.25"/>
    <row r="4501" s="1" customFormat="1" ht="15" x14ac:dyDescent="0.25"/>
    <row r="4502" s="1" customFormat="1" ht="15" x14ac:dyDescent="0.25"/>
    <row r="4503" s="1" customFormat="1" ht="15" x14ac:dyDescent="0.25"/>
    <row r="4504" s="1" customFormat="1" ht="15" x14ac:dyDescent="0.25"/>
    <row r="4505" s="1" customFormat="1" ht="15" x14ac:dyDescent="0.25"/>
    <row r="4506" s="1" customFormat="1" ht="15" x14ac:dyDescent="0.25"/>
    <row r="4507" s="1" customFormat="1" ht="15" x14ac:dyDescent="0.25"/>
    <row r="4508" s="1" customFormat="1" ht="15" x14ac:dyDescent="0.25"/>
    <row r="4509" s="1" customFormat="1" ht="15" x14ac:dyDescent="0.25"/>
    <row r="4510" s="1" customFormat="1" ht="15" x14ac:dyDescent="0.25"/>
    <row r="4511" s="1" customFormat="1" ht="15" x14ac:dyDescent="0.25"/>
    <row r="4512" s="1" customFormat="1" ht="15" x14ac:dyDescent="0.25"/>
    <row r="4513" s="1" customFormat="1" ht="15" x14ac:dyDescent="0.25"/>
    <row r="4514" s="1" customFormat="1" ht="15" x14ac:dyDescent="0.25"/>
    <row r="4515" s="1" customFormat="1" ht="15" x14ac:dyDescent="0.25"/>
    <row r="4516" s="1" customFormat="1" ht="15" x14ac:dyDescent="0.25"/>
    <row r="4517" s="1" customFormat="1" ht="15" x14ac:dyDescent="0.25"/>
    <row r="4518" s="1" customFormat="1" ht="15" x14ac:dyDescent="0.25"/>
    <row r="4519" s="1" customFormat="1" ht="15" x14ac:dyDescent="0.25"/>
    <row r="4520" s="1" customFormat="1" ht="15" x14ac:dyDescent="0.25"/>
    <row r="4521" s="1" customFormat="1" ht="15" x14ac:dyDescent="0.25"/>
    <row r="4522" s="1" customFormat="1" ht="15" x14ac:dyDescent="0.25"/>
    <row r="4523" s="1" customFormat="1" ht="15" x14ac:dyDescent="0.25"/>
    <row r="4524" s="1" customFormat="1" ht="15" x14ac:dyDescent="0.25"/>
    <row r="4525" s="1" customFormat="1" ht="15" x14ac:dyDescent="0.25"/>
    <row r="4526" s="1" customFormat="1" ht="15" x14ac:dyDescent="0.25"/>
    <row r="4527" s="1" customFormat="1" ht="15" x14ac:dyDescent="0.25"/>
    <row r="4528" s="1" customFormat="1" ht="15" x14ac:dyDescent="0.25"/>
    <row r="4529" s="1" customFormat="1" ht="15" x14ac:dyDescent="0.25"/>
    <row r="4530" s="1" customFormat="1" ht="15" x14ac:dyDescent="0.25"/>
    <row r="4531" s="1" customFormat="1" ht="15" x14ac:dyDescent="0.25"/>
    <row r="4532" s="1" customFormat="1" ht="15" x14ac:dyDescent="0.25"/>
    <row r="4533" s="1" customFormat="1" ht="15" x14ac:dyDescent="0.25"/>
    <row r="4534" s="1" customFormat="1" ht="15" x14ac:dyDescent="0.25"/>
    <row r="4535" s="1" customFormat="1" ht="15" x14ac:dyDescent="0.25"/>
    <row r="4536" s="1" customFormat="1" ht="15" x14ac:dyDescent="0.25"/>
    <row r="4537" s="1" customFormat="1" ht="15" x14ac:dyDescent="0.25"/>
    <row r="4538" s="1" customFormat="1" ht="15" x14ac:dyDescent="0.25"/>
    <row r="4539" s="1" customFormat="1" ht="15" x14ac:dyDescent="0.25"/>
    <row r="4540" s="1" customFormat="1" ht="15" x14ac:dyDescent="0.25"/>
    <row r="4541" s="1" customFormat="1" ht="15" x14ac:dyDescent="0.25"/>
    <row r="4542" s="1" customFormat="1" ht="15" x14ac:dyDescent="0.25"/>
    <row r="4543" s="1" customFormat="1" ht="15" x14ac:dyDescent="0.25"/>
    <row r="4544" s="1" customFormat="1" ht="15" x14ac:dyDescent="0.25"/>
    <row r="4545" s="1" customFormat="1" ht="15" x14ac:dyDescent="0.25"/>
    <row r="4546" s="1" customFormat="1" ht="15" x14ac:dyDescent="0.25"/>
    <row r="4547" s="1" customFormat="1" ht="15" x14ac:dyDescent="0.25"/>
    <row r="4548" s="1" customFormat="1" ht="15" x14ac:dyDescent="0.25"/>
    <row r="4549" s="1" customFormat="1" ht="15" x14ac:dyDescent="0.25"/>
    <row r="4550" s="1" customFormat="1" ht="15" x14ac:dyDescent="0.25"/>
    <row r="4551" s="1" customFormat="1" ht="15" x14ac:dyDescent="0.25"/>
    <row r="4552" s="1" customFormat="1" ht="15" x14ac:dyDescent="0.25"/>
    <row r="4553" s="1" customFormat="1" ht="15" x14ac:dyDescent="0.25"/>
    <row r="4554" s="1" customFormat="1" ht="15" x14ac:dyDescent="0.25"/>
    <row r="4555" s="1" customFormat="1" ht="15" x14ac:dyDescent="0.25"/>
    <row r="4556" s="1" customFormat="1" ht="15" x14ac:dyDescent="0.25"/>
    <row r="4557" s="1" customFormat="1" ht="15" x14ac:dyDescent="0.25"/>
    <row r="4558" s="1" customFormat="1" ht="15" x14ac:dyDescent="0.25"/>
    <row r="4559" s="1" customFormat="1" ht="15" x14ac:dyDescent="0.25"/>
    <row r="4560" s="1" customFormat="1" ht="15" x14ac:dyDescent="0.25"/>
    <row r="4561" s="1" customFormat="1" ht="15" x14ac:dyDescent="0.25"/>
    <row r="4562" s="1" customFormat="1" ht="15" x14ac:dyDescent="0.25"/>
    <row r="4563" s="1" customFormat="1" ht="15" x14ac:dyDescent="0.25"/>
    <row r="4564" s="1" customFormat="1" ht="15" x14ac:dyDescent="0.25"/>
    <row r="4565" s="1" customFormat="1" ht="15" x14ac:dyDescent="0.25"/>
    <row r="4566" s="1" customFormat="1" ht="15" x14ac:dyDescent="0.25"/>
    <row r="4567" s="1" customFormat="1" ht="15" x14ac:dyDescent="0.25"/>
    <row r="4568" s="1" customFormat="1" ht="15" x14ac:dyDescent="0.25"/>
    <row r="4569" s="1" customFormat="1" ht="15" x14ac:dyDescent="0.25"/>
    <row r="4570" s="1" customFormat="1" ht="15" x14ac:dyDescent="0.25"/>
    <row r="4571" s="1" customFormat="1" ht="15" x14ac:dyDescent="0.25"/>
    <row r="4572" s="1" customFormat="1" ht="15" x14ac:dyDescent="0.25"/>
    <row r="4573" s="1" customFormat="1" ht="15" x14ac:dyDescent="0.25"/>
    <row r="4574" s="1" customFormat="1" ht="15" x14ac:dyDescent="0.25"/>
    <row r="4575" s="1" customFormat="1" ht="15" x14ac:dyDescent="0.25"/>
    <row r="4576" s="1" customFormat="1" ht="15" x14ac:dyDescent="0.25"/>
    <row r="4577" s="1" customFormat="1" ht="15" x14ac:dyDescent="0.25"/>
    <row r="4578" s="1" customFormat="1" ht="15" x14ac:dyDescent="0.25"/>
    <row r="4579" s="1" customFormat="1" ht="15" x14ac:dyDescent="0.25"/>
    <row r="4580" s="1" customFormat="1" ht="15" x14ac:dyDescent="0.25"/>
    <row r="4581" s="1" customFormat="1" ht="15" x14ac:dyDescent="0.25"/>
    <row r="4582" s="1" customFormat="1" ht="15" x14ac:dyDescent="0.25"/>
    <row r="4583" s="1" customFormat="1" ht="15" x14ac:dyDescent="0.25"/>
    <row r="4584" s="1" customFormat="1" ht="15" x14ac:dyDescent="0.25"/>
    <row r="4585" s="1" customFormat="1" ht="15" x14ac:dyDescent="0.25"/>
    <row r="4586" s="1" customFormat="1" ht="15" x14ac:dyDescent="0.25"/>
    <row r="4587" s="1" customFormat="1" ht="15" x14ac:dyDescent="0.25"/>
    <row r="4588" s="1" customFormat="1" ht="15" x14ac:dyDescent="0.25"/>
    <row r="4589" s="1" customFormat="1" ht="15" x14ac:dyDescent="0.25"/>
    <row r="4590" s="1" customFormat="1" ht="15" x14ac:dyDescent="0.25"/>
    <row r="4591" s="1" customFormat="1" ht="15" x14ac:dyDescent="0.25"/>
    <row r="4592" s="1" customFormat="1" ht="15" x14ac:dyDescent="0.25"/>
    <row r="4593" s="1" customFormat="1" ht="15" x14ac:dyDescent="0.25"/>
    <row r="4594" s="1" customFormat="1" ht="15" x14ac:dyDescent="0.25"/>
    <row r="4595" s="1" customFormat="1" ht="15" x14ac:dyDescent="0.25"/>
    <row r="4596" s="1" customFormat="1" ht="15" x14ac:dyDescent="0.25"/>
    <row r="4597" s="1" customFormat="1" ht="15" x14ac:dyDescent="0.25"/>
    <row r="4598" s="1" customFormat="1" ht="15" x14ac:dyDescent="0.25"/>
    <row r="4599" s="1" customFormat="1" ht="15" x14ac:dyDescent="0.25"/>
    <row r="4600" s="1" customFormat="1" ht="15" x14ac:dyDescent="0.25"/>
    <row r="4601" s="1" customFormat="1" ht="15" x14ac:dyDescent="0.25"/>
    <row r="4602" s="1" customFormat="1" ht="15" x14ac:dyDescent="0.25"/>
    <row r="4603" s="1" customFormat="1" ht="15" x14ac:dyDescent="0.25"/>
    <row r="4604" s="1" customFormat="1" ht="15" x14ac:dyDescent="0.25"/>
    <row r="4605" s="1" customFormat="1" ht="15" x14ac:dyDescent="0.25"/>
    <row r="4606" s="1" customFormat="1" ht="15" x14ac:dyDescent="0.25"/>
    <row r="4607" s="1" customFormat="1" ht="15" x14ac:dyDescent="0.25"/>
    <row r="4608" s="1" customFormat="1" ht="15" x14ac:dyDescent="0.25"/>
    <row r="4609" s="1" customFormat="1" ht="15" x14ac:dyDescent="0.25"/>
    <row r="4610" s="1" customFormat="1" ht="15" x14ac:dyDescent="0.25"/>
    <row r="4611" s="1" customFormat="1" ht="15" x14ac:dyDescent="0.25"/>
    <row r="4612" s="1" customFormat="1" ht="15" x14ac:dyDescent="0.25"/>
    <row r="4613" s="1" customFormat="1" ht="15" x14ac:dyDescent="0.25"/>
    <row r="4614" s="1" customFormat="1" ht="15" x14ac:dyDescent="0.25"/>
    <row r="4615" s="1" customFormat="1" ht="15" x14ac:dyDescent="0.25"/>
    <row r="4616" s="1" customFormat="1" ht="15" x14ac:dyDescent="0.25"/>
    <row r="4617" s="1" customFormat="1" ht="15" x14ac:dyDescent="0.25"/>
    <row r="4618" s="1" customFormat="1" ht="15" x14ac:dyDescent="0.25"/>
    <row r="4619" s="1" customFormat="1" ht="15" x14ac:dyDescent="0.25"/>
    <row r="4620" s="1" customFormat="1" ht="15" x14ac:dyDescent="0.25"/>
    <row r="4621" s="1" customFormat="1" ht="15" x14ac:dyDescent="0.25"/>
    <row r="4622" s="1" customFormat="1" ht="15" x14ac:dyDescent="0.25"/>
    <row r="4623" s="1" customFormat="1" ht="15" x14ac:dyDescent="0.25"/>
    <row r="4624" s="1" customFormat="1" ht="15" x14ac:dyDescent="0.25"/>
    <row r="4625" s="1" customFormat="1" ht="15" x14ac:dyDescent="0.25"/>
    <row r="4626" s="1" customFormat="1" ht="15" x14ac:dyDescent="0.25"/>
    <row r="4627" s="1" customFormat="1" ht="15" x14ac:dyDescent="0.25"/>
    <row r="4628" s="1" customFormat="1" ht="15" x14ac:dyDescent="0.25"/>
    <row r="4629" s="1" customFormat="1" ht="15" x14ac:dyDescent="0.25"/>
    <row r="4630" s="1" customFormat="1" ht="15" x14ac:dyDescent="0.25"/>
    <row r="4631" s="1" customFormat="1" ht="15" x14ac:dyDescent="0.25"/>
    <row r="4632" s="1" customFormat="1" ht="15" x14ac:dyDescent="0.25"/>
    <row r="4633" s="1" customFormat="1" ht="15" x14ac:dyDescent="0.25"/>
    <row r="4634" s="1" customFormat="1" ht="15" x14ac:dyDescent="0.25"/>
    <row r="4635" s="1" customFormat="1" ht="15" x14ac:dyDescent="0.25"/>
    <row r="4636" s="1" customFormat="1" ht="15" x14ac:dyDescent="0.25"/>
    <row r="4637" s="1" customFormat="1" ht="15" x14ac:dyDescent="0.25"/>
    <row r="4638" s="1" customFormat="1" ht="15" x14ac:dyDescent="0.25"/>
    <row r="4639" s="1" customFormat="1" ht="15" x14ac:dyDescent="0.25"/>
    <row r="4640" s="1" customFormat="1" ht="15" x14ac:dyDescent="0.25"/>
    <row r="4641" s="1" customFormat="1" ht="15" x14ac:dyDescent="0.25"/>
    <row r="4642" s="1" customFormat="1" ht="15" x14ac:dyDescent="0.25"/>
    <row r="4643" s="1" customFormat="1" ht="15" x14ac:dyDescent="0.25"/>
    <row r="4644" s="1" customFormat="1" ht="15" x14ac:dyDescent="0.25"/>
    <row r="4645" s="1" customFormat="1" ht="15" x14ac:dyDescent="0.25"/>
    <row r="4646" s="1" customFormat="1" ht="15" x14ac:dyDescent="0.25"/>
    <row r="4647" s="1" customFormat="1" ht="15" x14ac:dyDescent="0.25"/>
    <row r="4648" s="1" customFormat="1" ht="15" x14ac:dyDescent="0.25"/>
    <row r="4649" s="1" customFormat="1" ht="15" x14ac:dyDescent="0.25"/>
    <row r="4650" s="1" customFormat="1" ht="15" x14ac:dyDescent="0.25"/>
    <row r="4651" s="1" customFormat="1" ht="15" x14ac:dyDescent="0.25"/>
    <row r="4652" s="1" customFormat="1" ht="15" x14ac:dyDescent="0.25"/>
    <row r="4653" s="1" customFormat="1" ht="15" x14ac:dyDescent="0.25"/>
    <row r="4654" s="1" customFormat="1" ht="15" x14ac:dyDescent="0.25"/>
    <row r="4655" s="1" customFormat="1" ht="15" x14ac:dyDescent="0.25"/>
    <row r="4656" s="1" customFormat="1" ht="15" x14ac:dyDescent="0.25"/>
    <row r="4657" s="1" customFormat="1" ht="15" x14ac:dyDescent="0.25"/>
    <row r="4658" s="1" customFormat="1" ht="15" x14ac:dyDescent="0.25"/>
    <row r="4659" s="1" customFormat="1" ht="15" x14ac:dyDescent="0.25"/>
    <row r="4660" s="1" customFormat="1" ht="15" x14ac:dyDescent="0.25"/>
    <row r="4661" s="1" customFormat="1" ht="15" x14ac:dyDescent="0.25"/>
    <row r="4662" s="1" customFormat="1" ht="15" x14ac:dyDescent="0.25"/>
    <row r="4663" s="1" customFormat="1" ht="15" x14ac:dyDescent="0.25"/>
    <row r="4664" s="1" customFormat="1" ht="15" x14ac:dyDescent="0.25"/>
    <row r="4665" s="1" customFormat="1" ht="15" x14ac:dyDescent="0.25"/>
    <row r="4666" s="1" customFormat="1" ht="15" x14ac:dyDescent="0.25"/>
    <row r="4667" s="1" customFormat="1" ht="15" x14ac:dyDescent="0.25"/>
    <row r="4668" s="1" customFormat="1" ht="15" x14ac:dyDescent="0.25"/>
    <row r="4669" s="1" customFormat="1" ht="15" x14ac:dyDescent="0.25"/>
    <row r="4670" s="1" customFormat="1" ht="15" x14ac:dyDescent="0.25"/>
    <row r="4671" s="1" customFormat="1" ht="15" x14ac:dyDescent="0.25"/>
    <row r="4672" s="1" customFormat="1" ht="15" x14ac:dyDescent="0.25"/>
    <row r="4673" s="1" customFormat="1" ht="15" x14ac:dyDescent="0.25"/>
    <row r="4674" s="1" customFormat="1" ht="15" x14ac:dyDescent="0.25"/>
    <row r="4675" s="1" customFormat="1" ht="15" x14ac:dyDescent="0.25"/>
    <row r="4676" s="1" customFormat="1" ht="15" x14ac:dyDescent="0.25"/>
    <row r="4677" s="1" customFormat="1" ht="15" x14ac:dyDescent="0.25"/>
    <row r="4678" s="1" customFormat="1" ht="15" x14ac:dyDescent="0.25"/>
    <row r="4679" s="1" customFormat="1" ht="15" x14ac:dyDescent="0.25"/>
    <row r="4680" s="1" customFormat="1" ht="15" x14ac:dyDescent="0.25"/>
    <row r="4681" s="1" customFormat="1" ht="15" x14ac:dyDescent="0.25"/>
    <row r="4682" s="1" customFormat="1" ht="15" x14ac:dyDescent="0.25"/>
    <row r="4683" s="1" customFormat="1" ht="15" x14ac:dyDescent="0.25"/>
    <row r="4684" s="1" customFormat="1" ht="15" x14ac:dyDescent="0.25"/>
    <row r="4685" s="1" customFormat="1" ht="15" x14ac:dyDescent="0.25"/>
    <row r="4686" s="1" customFormat="1" ht="15" x14ac:dyDescent="0.25"/>
    <row r="4687" s="1" customFormat="1" ht="15" x14ac:dyDescent="0.25"/>
    <row r="4688" s="1" customFormat="1" ht="15" x14ac:dyDescent="0.25"/>
    <row r="4689" s="1" customFormat="1" ht="15" x14ac:dyDescent="0.25"/>
    <row r="4690" s="1" customFormat="1" ht="15" x14ac:dyDescent="0.25"/>
    <row r="4691" s="1" customFormat="1" ht="15" x14ac:dyDescent="0.25"/>
    <row r="4692" s="1" customFormat="1" ht="15" x14ac:dyDescent="0.25"/>
    <row r="4693" s="1" customFormat="1" ht="15" x14ac:dyDescent="0.25"/>
    <row r="4694" s="1" customFormat="1" ht="15" x14ac:dyDescent="0.25"/>
    <row r="4695" s="1" customFormat="1" ht="15" x14ac:dyDescent="0.25"/>
    <row r="4696" s="1" customFormat="1" ht="15" x14ac:dyDescent="0.25"/>
    <row r="4697" s="1" customFormat="1" ht="15" x14ac:dyDescent="0.25"/>
    <row r="4698" s="1" customFormat="1" ht="15" x14ac:dyDescent="0.25"/>
    <row r="4699" s="1" customFormat="1" ht="15" x14ac:dyDescent="0.25"/>
    <row r="4700" s="1" customFormat="1" ht="15" x14ac:dyDescent="0.25"/>
    <row r="4701" s="1" customFormat="1" ht="15" x14ac:dyDescent="0.25"/>
    <row r="4702" s="1" customFormat="1" ht="15" x14ac:dyDescent="0.25"/>
    <row r="4703" s="1" customFormat="1" ht="15" x14ac:dyDescent="0.25"/>
    <row r="4704" s="1" customFormat="1" ht="15" x14ac:dyDescent="0.25"/>
    <row r="4705" s="1" customFormat="1" ht="15" x14ac:dyDescent="0.25"/>
    <row r="4706" s="1" customFormat="1" ht="15" x14ac:dyDescent="0.25"/>
    <row r="4707" s="1" customFormat="1" ht="15" x14ac:dyDescent="0.25"/>
    <row r="4708" s="1" customFormat="1" ht="15" x14ac:dyDescent="0.25"/>
    <row r="4709" s="1" customFormat="1" ht="15" x14ac:dyDescent="0.25"/>
    <row r="4710" s="1" customFormat="1" ht="15" x14ac:dyDescent="0.25"/>
    <row r="4711" s="1" customFormat="1" ht="15" x14ac:dyDescent="0.25"/>
    <row r="4712" s="1" customFormat="1" ht="15" x14ac:dyDescent="0.25"/>
    <row r="4713" s="1" customFormat="1" ht="15" x14ac:dyDescent="0.25"/>
    <row r="4714" s="1" customFormat="1" ht="15" x14ac:dyDescent="0.25"/>
    <row r="4715" s="1" customFormat="1" ht="15" x14ac:dyDescent="0.25"/>
    <row r="4716" s="1" customFormat="1" ht="15" x14ac:dyDescent="0.25"/>
    <row r="4717" s="1" customFormat="1" ht="15" x14ac:dyDescent="0.25"/>
    <row r="4718" s="1" customFormat="1" ht="15" x14ac:dyDescent="0.25"/>
    <row r="4719" s="1" customFormat="1" ht="15" x14ac:dyDescent="0.25"/>
    <row r="4720" s="1" customFormat="1" ht="15" x14ac:dyDescent="0.25"/>
    <row r="4721" s="1" customFormat="1" ht="15" x14ac:dyDescent="0.25"/>
    <row r="4722" s="1" customFormat="1" ht="15" x14ac:dyDescent="0.25"/>
    <row r="4723" s="1" customFormat="1" ht="15" x14ac:dyDescent="0.25"/>
    <row r="4724" s="1" customFormat="1" ht="15" x14ac:dyDescent="0.25"/>
    <row r="4725" s="1" customFormat="1" ht="15" x14ac:dyDescent="0.25"/>
    <row r="4726" s="1" customFormat="1" ht="15" x14ac:dyDescent="0.25"/>
    <row r="4727" s="1" customFormat="1" ht="15" x14ac:dyDescent="0.25"/>
    <row r="4728" s="1" customFormat="1" ht="15" x14ac:dyDescent="0.25"/>
    <row r="4729" s="1" customFormat="1" ht="15" x14ac:dyDescent="0.25"/>
    <row r="4730" s="1" customFormat="1" ht="15" x14ac:dyDescent="0.25"/>
    <row r="4731" s="1" customFormat="1" ht="15" x14ac:dyDescent="0.25"/>
    <row r="4732" s="1" customFormat="1" ht="15" x14ac:dyDescent="0.25"/>
    <row r="4733" s="1" customFormat="1" ht="15" x14ac:dyDescent="0.25"/>
    <row r="4734" s="1" customFormat="1" ht="15" x14ac:dyDescent="0.25"/>
    <row r="4735" s="1" customFormat="1" ht="15" x14ac:dyDescent="0.25"/>
    <row r="4736" s="1" customFormat="1" ht="15" x14ac:dyDescent="0.25"/>
    <row r="4737" s="1" customFormat="1" ht="15" x14ac:dyDescent="0.25"/>
    <row r="4738" s="1" customFormat="1" ht="15" x14ac:dyDescent="0.25"/>
    <row r="4739" s="1" customFormat="1" ht="15" x14ac:dyDescent="0.25"/>
    <row r="4740" s="1" customFormat="1" ht="15" x14ac:dyDescent="0.25"/>
    <row r="4741" s="1" customFormat="1" ht="15" x14ac:dyDescent="0.25"/>
    <row r="4742" s="1" customFormat="1" ht="15" x14ac:dyDescent="0.25"/>
    <row r="4743" s="1" customFormat="1" ht="15" x14ac:dyDescent="0.25"/>
    <row r="4744" s="1" customFormat="1" ht="15" x14ac:dyDescent="0.25"/>
    <row r="4745" s="1" customFormat="1" ht="15" x14ac:dyDescent="0.25"/>
    <row r="4746" s="1" customFormat="1" ht="15" x14ac:dyDescent="0.25"/>
    <row r="4747" s="1" customFormat="1" ht="15" x14ac:dyDescent="0.25"/>
    <row r="4748" s="1" customFormat="1" ht="15" x14ac:dyDescent="0.25"/>
    <row r="4749" s="1" customFormat="1" ht="15" x14ac:dyDescent="0.25"/>
    <row r="4750" s="1" customFormat="1" ht="15" x14ac:dyDescent="0.25"/>
    <row r="4751" s="1" customFormat="1" ht="15" x14ac:dyDescent="0.25"/>
    <row r="4752" s="1" customFormat="1" ht="15" x14ac:dyDescent="0.25"/>
    <row r="4753" s="1" customFormat="1" ht="15" x14ac:dyDescent="0.25"/>
    <row r="4754" s="1" customFormat="1" ht="15" x14ac:dyDescent="0.25"/>
    <row r="4755" s="1" customFormat="1" ht="15" x14ac:dyDescent="0.25"/>
    <row r="4756" s="1" customFormat="1" ht="15" x14ac:dyDescent="0.25"/>
    <row r="4757" s="1" customFormat="1" ht="15" x14ac:dyDescent="0.25"/>
    <row r="4758" s="1" customFormat="1" ht="15" x14ac:dyDescent="0.25"/>
    <row r="4759" s="1" customFormat="1" ht="15" x14ac:dyDescent="0.25"/>
    <row r="4760" s="1" customFormat="1" ht="15" x14ac:dyDescent="0.25"/>
    <row r="4761" s="1" customFormat="1" ht="15" x14ac:dyDescent="0.25"/>
    <row r="4762" s="1" customFormat="1" ht="15" x14ac:dyDescent="0.25"/>
    <row r="4763" s="1" customFormat="1" ht="15" x14ac:dyDescent="0.25"/>
    <row r="4764" s="1" customFormat="1" ht="15" x14ac:dyDescent="0.25"/>
    <row r="4765" s="1" customFormat="1" ht="15" x14ac:dyDescent="0.25"/>
    <row r="4766" s="1" customFormat="1" ht="15" x14ac:dyDescent="0.25"/>
    <row r="4767" s="1" customFormat="1" ht="15" x14ac:dyDescent="0.25"/>
    <row r="4768" s="1" customFormat="1" ht="15" x14ac:dyDescent="0.25"/>
    <row r="4769" s="1" customFormat="1" ht="15" x14ac:dyDescent="0.25"/>
    <row r="4770" s="1" customFormat="1" ht="15" x14ac:dyDescent="0.25"/>
    <row r="4771" s="1" customFormat="1" ht="15" x14ac:dyDescent="0.25"/>
    <row r="4772" s="1" customFormat="1" ht="15" x14ac:dyDescent="0.25"/>
    <row r="4773" s="1" customFormat="1" ht="15" x14ac:dyDescent="0.25"/>
    <row r="4774" s="1" customFormat="1" ht="15" x14ac:dyDescent="0.25"/>
    <row r="4775" s="1" customFormat="1" ht="15" x14ac:dyDescent="0.25"/>
    <row r="4776" s="1" customFormat="1" ht="15" x14ac:dyDescent="0.25"/>
    <row r="4777" s="1" customFormat="1" ht="15" x14ac:dyDescent="0.25"/>
    <row r="4778" s="1" customFormat="1" ht="15" x14ac:dyDescent="0.25"/>
    <row r="4779" s="1" customFormat="1" ht="15" x14ac:dyDescent="0.25"/>
    <row r="4780" s="1" customFormat="1" ht="15" x14ac:dyDescent="0.25"/>
    <row r="4781" s="1" customFormat="1" ht="15" x14ac:dyDescent="0.25"/>
    <row r="4782" s="1" customFormat="1" ht="15" x14ac:dyDescent="0.25"/>
    <row r="4783" s="1" customFormat="1" ht="15" x14ac:dyDescent="0.25"/>
    <row r="4784" s="1" customFormat="1" ht="15" x14ac:dyDescent="0.25"/>
    <row r="4785" s="1" customFormat="1" ht="15" x14ac:dyDescent="0.25"/>
    <row r="4786" s="1" customFormat="1" ht="15" x14ac:dyDescent="0.25"/>
    <row r="4787" s="1" customFormat="1" ht="15" x14ac:dyDescent="0.25"/>
    <row r="4788" s="1" customFormat="1" ht="15" x14ac:dyDescent="0.25"/>
    <row r="4789" s="1" customFormat="1" ht="15" x14ac:dyDescent="0.25"/>
    <row r="4790" s="1" customFormat="1" ht="15" x14ac:dyDescent="0.25"/>
    <row r="4791" s="1" customFormat="1" ht="15" x14ac:dyDescent="0.25"/>
    <row r="4792" s="1" customFormat="1" ht="15" x14ac:dyDescent="0.25"/>
    <row r="4793" s="1" customFormat="1" ht="15" x14ac:dyDescent="0.25"/>
    <row r="4794" s="1" customFormat="1" ht="15" x14ac:dyDescent="0.25"/>
    <row r="4795" s="1" customFormat="1" ht="15" x14ac:dyDescent="0.25"/>
    <row r="4796" s="1" customFormat="1" ht="15" x14ac:dyDescent="0.25"/>
    <row r="4797" s="1" customFormat="1" ht="15" x14ac:dyDescent="0.25"/>
    <row r="4798" s="1" customFormat="1" ht="15" x14ac:dyDescent="0.25"/>
    <row r="4799" s="1" customFormat="1" ht="15" x14ac:dyDescent="0.25"/>
    <row r="4800" s="1" customFormat="1" ht="15" x14ac:dyDescent="0.25"/>
    <row r="4801" s="1" customFormat="1" ht="15" x14ac:dyDescent="0.25"/>
    <row r="4802" s="1" customFormat="1" ht="15" x14ac:dyDescent="0.25"/>
    <row r="4803" s="1" customFormat="1" ht="15" x14ac:dyDescent="0.25"/>
    <row r="4804" s="1" customFormat="1" ht="15" x14ac:dyDescent="0.25"/>
    <row r="4805" s="1" customFormat="1" ht="15" x14ac:dyDescent="0.25"/>
    <row r="4806" s="1" customFormat="1" ht="15" x14ac:dyDescent="0.25"/>
    <row r="4807" s="1" customFormat="1" ht="15" x14ac:dyDescent="0.25"/>
    <row r="4808" s="1" customFormat="1" ht="15" x14ac:dyDescent="0.25"/>
    <row r="4809" s="1" customFormat="1" ht="15" x14ac:dyDescent="0.25"/>
    <row r="4810" s="1" customFormat="1" ht="15" x14ac:dyDescent="0.25"/>
    <row r="4811" s="1" customFormat="1" ht="15" x14ac:dyDescent="0.25"/>
    <row r="4812" s="1" customFormat="1" ht="15" x14ac:dyDescent="0.25"/>
    <row r="4813" s="1" customFormat="1" ht="15" x14ac:dyDescent="0.25"/>
    <row r="4814" s="1" customFormat="1" ht="15" x14ac:dyDescent="0.25"/>
    <row r="4815" s="1" customFormat="1" ht="15" x14ac:dyDescent="0.25"/>
    <row r="4816" s="1" customFormat="1" ht="15" x14ac:dyDescent="0.25"/>
    <row r="4817" s="1" customFormat="1" ht="15" x14ac:dyDescent="0.25"/>
    <row r="4818" s="1" customFormat="1" ht="15" x14ac:dyDescent="0.25"/>
    <row r="4819" s="1" customFormat="1" ht="15" x14ac:dyDescent="0.25"/>
    <row r="4820" s="1" customFormat="1" ht="15" x14ac:dyDescent="0.25"/>
    <row r="4821" s="1" customFormat="1" ht="15" x14ac:dyDescent="0.25"/>
    <row r="4822" s="1" customFormat="1" ht="15" x14ac:dyDescent="0.25"/>
    <row r="4823" s="1" customFormat="1" ht="15" x14ac:dyDescent="0.25"/>
    <row r="4824" s="1" customFormat="1" ht="15" x14ac:dyDescent="0.25"/>
    <row r="4825" s="1" customFormat="1" ht="15" x14ac:dyDescent="0.25"/>
    <row r="4826" s="1" customFormat="1" ht="15" x14ac:dyDescent="0.25"/>
    <row r="4827" s="1" customFormat="1" ht="15" x14ac:dyDescent="0.25"/>
    <row r="4828" s="1" customFormat="1" ht="15" x14ac:dyDescent="0.25"/>
    <row r="4829" s="1" customFormat="1" ht="15" x14ac:dyDescent="0.25"/>
    <row r="4830" s="1" customFormat="1" ht="15" x14ac:dyDescent="0.25"/>
    <row r="4831" s="1" customFormat="1" ht="15" x14ac:dyDescent="0.25"/>
    <row r="4832" s="1" customFormat="1" ht="15" x14ac:dyDescent="0.25"/>
    <row r="4833" s="1" customFormat="1" ht="15" x14ac:dyDescent="0.25"/>
    <row r="4834" s="1" customFormat="1" ht="15" x14ac:dyDescent="0.25"/>
    <row r="4835" s="1" customFormat="1" ht="15" x14ac:dyDescent="0.25"/>
    <row r="4836" s="1" customFormat="1" ht="15" x14ac:dyDescent="0.25"/>
    <row r="4837" s="1" customFormat="1" ht="15" x14ac:dyDescent="0.25"/>
    <row r="4838" s="1" customFormat="1" ht="15" x14ac:dyDescent="0.25"/>
    <row r="4839" s="1" customFormat="1" ht="15" x14ac:dyDescent="0.25"/>
    <row r="4840" s="1" customFormat="1" ht="15" x14ac:dyDescent="0.25"/>
    <row r="4841" s="1" customFormat="1" ht="15" x14ac:dyDescent="0.25"/>
    <row r="4842" s="1" customFormat="1" ht="15" x14ac:dyDescent="0.25"/>
    <row r="4843" s="1" customFormat="1" ht="15" x14ac:dyDescent="0.25"/>
    <row r="4844" s="1" customFormat="1" ht="15" x14ac:dyDescent="0.25"/>
    <row r="4845" s="1" customFormat="1" ht="15" x14ac:dyDescent="0.25"/>
    <row r="4846" s="1" customFormat="1" ht="15" x14ac:dyDescent="0.25"/>
    <row r="4847" s="1" customFormat="1" ht="15" x14ac:dyDescent="0.25"/>
    <row r="4848" s="1" customFormat="1" ht="15" x14ac:dyDescent="0.25"/>
    <row r="4849" s="1" customFormat="1" ht="15" x14ac:dyDescent="0.25"/>
    <row r="4850" s="1" customFormat="1" ht="15" x14ac:dyDescent="0.25"/>
    <row r="4851" s="1" customFormat="1" ht="15" x14ac:dyDescent="0.25"/>
    <row r="4852" s="1" customFormat="1" ht="15" x14ac:dyDescent="0.25"/>
    <row r="4853" s="1" customFormat="1" ht="15" x14ac:dyDescent="0.25"/>
    <row r="4854" s="1" customFormat="1" ht="15" x14ac:dyDescent="0.25"/>
    <row r="4855" s="1" customFormat="1" ht="15" x14ac:dyDescent="0.25"/>
    <row r="4856" s="1" customFormat="1" ht="15" x14ac:dyDescent="0.25"/>
    <row r="4857" s="1" customFormat="1" ht="15" x14ac:dyDescent="0.25"/>
    <row r="4858" s="1" customFormat="1" ht="15" x14ac:dyDescent="0.25"/>
    <row r="4859" s="1" customFormat="1" ht="15" x14ac:dyDescent="0.25"/>
    <row r="4860" s="1" customFormat="1" ht="15" x14ac:dyDescent="0.25"/>
    <row r="4861" s="1" customFormat="1" ht="15" x14ac:dyDescent="0.25"/>
    <row r="4862" s="1" customFormat="1" ht="15" x14ac:dyDescent="0.25"/>
    <row r="4863" s="1" customFormat="1" ht="15" x14ac:dyDescent="0.25"/>
    <row r="4864" s="1" customFormat="1" ht="15" x14ac:dyDescent="0.25"/>
    <row r="4865" s="1" customFormat="1" ht="15" x14ac:dyDescent="0.25"/>
    <row r="4866" s="1" customFormat="1" ht="15" x14ac:dyDescent="0.25"/>
    <row r="4867" s="1" customFormat="1" ht="15" x14ac:dyDescent="0.25"/>
    <row r="4868" s="1" customFormat="1" ht="15" x14ac:dyDescent="0.25"/>
    <row r="4869" s="1" customFormat="1" ht="15" x14ac:dyDescent="0.25"/>
    <row r="4870" s="1" customFormat="1" ht="15" x14ac:dyDescent="0.25"/>
    <row r="4871" s="1" customFormat="1" ht="15" x14ac:dyDescent="0.25"/>
    <row r="4872" s="1" customFormat="1" ht="15" x14ac:dyDescent="0.25"/>
    <row r="4873" s="1" customFormat="1" ht="15" x14ac:dyDescent="0.25"/>
    <row r="4874" s="1" customFormat="1" ht="15" x14ac:dyDescent="0.25"/>
    <row r="4875" s="1" customFormat="1" ht="15" x14ac:dyDescent="0.25"/>
    <row r="4876" s="1" customFormat="1" ht="15" x14ac:dyDescent="0.25"/>
    <row r="4877" s="1" customFormat="1" ht="15" x14ac:dyDescent="0.25"/>
    <row r="4878" s="1" customFormat="1" ht="15" x14ac:dyDescent="0.25"/>
    <row r="4879" s="1" customFormat="1" ht="15" x14ac:dyDescent="0.25"/>
    <row r="4880" s="1" customFormat="1" ht="15" x14ac:dyDescent="0.25"/>
    <row r="4881" s="1" customFormat="1" ht="15" x14ac:dyDescent="0.25"/>
    <row r="4882" s="1" customFormat="1" ht="15" x14ac:dyDescent="0.25"/>
    <row r="4883" s="1" customFormat="1" ht="15" x14ac:dyDescent="0.25"/>
    <row r="4884" s="1" customFormat="1" ht="15" x14ac:dyDescent="0.25"/>
    <row r="4885" s="1" customFormat="1" ht="15" x14ac:dyDescent="0.25"/>
    <row r="4886" s="1" customFormat="1" ht="15" x14ac:dyDescent="0.25"/>
    <row r="4887" s="1" customFormat="1" ht="15" x14ac:dyDescent="0.25"/>
    <row r="4888" s="1" customFormat="1" ht="15" x14ac:dyDescent="0.25"/>
    <row r="4889" s="1" customFormat="1" ht="15" x14ac:dyDescent="0.25"/>
    <row r="4890" s="1" customFormat="1" ht="15" x14ac:dyDescent="0.25"/>
    <row r="4891" s="1" customFormat="1" ht="15" x14ac:dyDescent="0.25"/>
    <row r="4892" s="1" customFormat="1" ht="15" x14ac:dyDescent="0.25"/>
    <row r="4893" s="1" customFormat="1" ht="15" x14ac:dyDescent="0.25"/>
    <row r="4894" s="1" customFormat="1" ht="15" x14ac:dyDescent="0.25"/>
    <row r="4895" s="1" customFormat="1" ht="15" x14ac:dyDescent="0.25"/>
    <row r="4896" s="1" customFormat="1" ht="15" x14ac:dyDescent="0.25"/>
    <row r="4897" s="1" customFormat="1" ht="15" x14ac:dyDescent="0.25"/>
    <row r="4898" s="1" customFormat="1" ht="15" x14ac:dyDescent="0.25"/>
    <row r="4899" s="1" customFormat="1" ht="15" x14ac:dyDescent="0.25"/>
    <row r="4900" s="1" customFormat="1" ht="15" x14ac:dyDescent="0.25"/>
    <row r="4901" s="1" customFormat="1" ht="15" x14ac:dyDescent="0.25"/>
    <row r="4902" s="1" customFormat="1" ht="15" x14ac:dyDescent="0.25"/>
    <row r="4903" s="1" customFormat="1" ht="15" x14ac:dyDescent="0.25"/>
    <row r="4904" s="1" customFormat="1" ht="15" x14ac:dyDescent="0.25"/>
    <row r="4905" s="1" customFormat="1" ht="15" x14ac:dyDescent="0.25"/>
    <row r="4906" s="1" customFormat="1" ht="15" x14ac:dyDescent="0.25"/>
    <row r="4907" s="1" customFormat="1" ht="15" x14ac:dyDescent="0.25"/>
    <row r="4908" s="1" customFormat="1" ht="15" x14ac:dyDescent="0.25"/>
    <row r="4909" s="1" customFormat="1" ht="15" x14ac:dyDescent="0.25"/>
    <row r="4910" s="1" customFormat="1" ht="15" x14ac:dyDescent="0.25"/>
    <row r="4911" s="1" customFormat="1" ht="15" x14ac:dyDescent="0.25"/>
    <row r="4912" s="1" customFormat="1" ht="15" x14ac:dyDescent="0.25"/>
    <row r="4913" s="1" customFormat="1" ht="15" x14ac:dyDescent="0.25"/>
    <row r="4914" s="1" customFormat="1" ht="15" x14ac:dyDescent="0.25"/>
    <row r="4915" s="1" customFormat="1" ht="15" x14ac:dyDescent="0.25"/>
    <row r="4916" s="1" customFormat="1" ht="15" x14ac:dyDescent="0.25"/>
    <row r="4917" s="1" customFormat="1" ht="15" x14ac:dyDescent="0.25"/>
    <row r="4918" s="1" customFormat="1" ht="15" x14ac:dyDescent="0.25"/>
    <row r="4919" s="1" customFormat="1" ht="15" x14ac:dyDescent="0.25"/>
    <row r="4920" s="1" customFormat="1" ht="15" x14ac:dyDescent="0.25"/>
    <row r="4921" s="1" customFormat="1" ht="15" x14ac:dyDescent="0.25"/>
    <row r="4922" s="1" customFormat="1" ht="15" x14ac:dyDescent="0.25"/>
    <row r="4923" s="1" customFormat="1" ht="15" x14ac:dyDescent="0.25"/>
    <row r="4924" s="1" customFormat="1" ht="15" x14ac:dyDescent="0.25"/>
    <row r="4925" s="1" customFormat="1" ht="15" x14ac:dyDescent="0.25"/>
    <row r="4926" s="1" customFormat="1" ht="15" x14ac:dyDescent="0.25"/>
    <row r="4927" s="1" customFormat="1" ht="15" x14ac:dyDescent="0.25"/>
    <row r="4928" s="1" customFormat="1" ht="15" x14ac:dyDescent="0.25"/>
    <row r="4929" s="1" customFormat="1" ht="15" x14ac:dyDescent="0.25"/>
    <row r="4930" s="1" customFormat="1" ht="15" x14ac:dyDescent="0.25"/>
    <row r="4931" s="1" customFormat="1" ht="15" x14ac:dyDescent="0.25"/>
    <row r="4932" s="1" customFormat="1" ht="15" x14ac:dyDescent="0.25"/>
    <row r="4933" s="1" customFormat="1" ht="15" x14ac:dyDescent="0.25"/>
    <row r="4934" s="1" customFormat="1" ht="15" x14ac:dyDescent="0.25"/>
    <row r="4935" s="1" customFormat="1" ht="15" x14ac:dyDescent="0.25"/>
    <row r="4936" s="1" customFormat="1" ht="15" x14ac:dyDescent="0.25"/>
    <row r="4937" s="1" customFormat="1" ht="15" x14ac:dyDescent="0.25"/>
    <row r="4938" s="1" customFormat="1" ht="15" x14ac:dyDescent="0.25"/>
    <row r="4939" s="1" customFormat="1" ht="15" x14ac:dyDescent="0.25"/>
    <row r="4940" s="1" customFormat="1" ht="15" x14ac:dyDescent="0.25"/>
    <row r="4941" s="1" customFormat="1" ht="15" x14ac:dyDescent="0.25"/>
    <row r="4942" s="1" customFormat="1" ht="15" x14ac:dyDescent="0.25"/>
    <row r="4943" s="1" customFormat="1" ht="15" x14ac:dyDescent="0.25"/>
    <row r="4944" s="1" customFormat="1" ht="15" x14ac:dyDescent="0.25"/>
    <row r="4945" s="1" customFormat="1" ht="15" x14ac:dyDescent="0.25"/>
    <row r="4946" s="1" customFormat="1" ht="15" x14ac:dyDescent="0.25"/>
    <row r="4947" s="1" customFormat="1" ht="15" x14ac:dyDescent="0.25"/>
    <row r="4948" s="1" customFormat="1" ht="15" x14ac:dyDescent="0.25"/>
    <row r="4949" s="1" customFormat="1" ht="15" x14ac:dyDescent="0.25"/>
    <row r="4950" s="1" customFormat="1" ht="15" x14ac:dyDescent="0.25"/>
    <row r="4951" s="1" customFormat="1" ht="15" x14ac:dyDescent="0.25"/>
    <row r="4952" s="1" customFormat="1" ht="15" x14ac:dyDescent="0.25"/>
    <row r="4953" s="1" customFormat="1" ht="15" x14ac:dyDescent="0.25"/>
    <row r="4954" s="1" customFormat="1" ht="15" x14ac:dyDescent="0.25"/>
    <row r="4955" s="1" customFormat="1" ht="15" x14ac:dyDescent="0.25"/>
    <row r="4956" s="1" customFormat="1" ht="15" x14ac:dyDescent="0.25"/>
    <row r="4957" s="1" customFormat="1" ht="15" x14ac:dyDescent="0.25"/>
    <row r="4958" s="1" customFormat="1" ht="15" x14ac:dyDescent="0.25"/>
    <row r="4959" s="1" customFormat="1" ht="15" x14ac:dyDescent="0.25"/>
    <row r="4960" s="1" customFormat="1" ht="15" x14ac:dyDescent="0.25"/>
    <row r="4961" s="1" customFormat="1" ht="15" x14ac:dyDescent="0.25"/>
    <row r="4962" s="1" customFormat="1" ht="15" x14ac:dyDescent="0.25"/>
    <row r="4963" s="1" customFormat="1" ht="15" x14ac:dyDescent="0.25"/>
    <row r="4964" s="1" customFormat="1" ht="15" x14ac:dyDescent="0.25"/>
    <row r="4965" s="1" customFormat="1" ht="15" x14ac:dyDescent="0.25"/>
    <row r="4966" s="1" customFormat="1" ht="15" x14ac:dyDescent="0.25"/>
    <row r="4967" s="1" customFormat="1" ht="15" x14ac:dyDescent="0.25"/>
    <row r="4968" s="1" customFormat="1" ht="15" x14ac:dyDescent="0.25"/>
    <row r="4969" s="1" customFormat="1" ht="15" x14ac:dyDescent="0.25"/>
    <row r="4970" s="1" customFormat="1" ht="15" x14ac:dyDescent="0.25"/>
    <row r="4971" s="1" customFormat="1" ht="15" x14ac:dyDescent="0.25"/>
    <row r="4972" s="1" customFormat="1" ht="15" x14ac:dyDescent="0.25"/>
    <row r="4973" s="1" customFormat="1" ht="15" x14ac:dyDescent="0.25"/>
    <row r="4974" s="1" customFormat="1" ht="15" x14ac:dyDescent="0.25"/>
    <row r="4975" s="1" customFormat="1" ht="15" x14ac:dyDescent="0.25"/>
    <row r="4976" s="1" customFormat="1" ht="15" x14ac:dyDescent="0.25"/>
    <row r="4977" s="1" customFormat="1" ht="15" x14ac:dyDescent="0.25"/>
    <row r="4978" s="1" customFormat="1" ht="15" x14ac:dyDescent="0.25"/>
    <row r="4979" s="1" customFormat="1" ht="15" x14ac:dyDescent="0.25"/>
    <row r="4980" s="1" customFormat="1" ht="15" x14ac:dyDescent="0.25"/>
    <row r="4981" s="1" customFormat="1" ht="15" x14ac:dyDescent="0.25"/>
    <row r="4982" s="1" customFormat="1" ht="15" x14ac:dyDescent="0.25"/>
    <row r="4983" s="1" customFormat="1" ht="15" x14ac:dyDescent="0.25"/>
    <row r="4984" s="1" customFormat="1" ht="15" x14ac:dyDescent="0.25"/>
    <row r="4985" s="1" customFormat="1" ht="15" x14ac:dyDescent="0.25"/>
    <row r="4986" s="1" customFormat="1" ht="15" x14ac:dyDescent="0.25"/>
    <row r="4987" s="1" customFormat="1" ht="15" x14ac:dyDescent="0.25"/>
    <row r="4988" s="1" customFormat="1" ht="15" x14ac:dyDescent="0.25"/>
    <row r="4989" s="1" customFormat="1" ht="15" x14ac:dyDescent="0.25"/>
    <row r="4990" s="1" customFormat="1" ht="15" x14ac:dyDescent="0.25"/>
    <row r="4991" s="1" customFormat="1" ht="15" x14ac:dyDescent="0.25"/>
    <row r="4992" s="1" customFormat="1" ht="15" x14ac:dyDescent="0.25"/>
    <row r="4993" s="1" customFormat="1" ht="15" x14ac:dyDescent="0.25"/>
    <row r="4994" s="1" customFormat="1" ht="15" x14ac:dyDescent="0.25"/>
    <row r="4995" s="1" customFormat="1" ht="15" x14ac:dyDescent="0.25"/>
    <row r="4996" s="1" customFormat="1" ht="15" x14ac:dyDescent="0.25"/>
    <row r="4997" s="1" customFormat="1" ht="15" x14ac:dyDescent="0.25"/>
    <row r="4998" s="1" customFormat="1" ht="15" x14ac:dyDescent="0.25"/>
    <row r="4999" s="1" customFormat="1" ht="15" x14ac:dyDescent="0.25"/>
    <row r="5000" s="1" customFormat="1" ht="15" x14ac:dyDescent="0.25"/>
    <row r="5001" s="1" customFormat="1" ht="15" x14ac:dyDescent="0.25"/>
    <row r="5002" s="1" customFormat="1" ht="15" x14ac:dyDescent="0.25"/>
    <row r="5003" s="1" customFormat="1" ht="15" x14ac:dyDescent="0.25"/>
    <row r="5004" s="1" customFormat="1" ht="15" x14ac:dyDescent="0.25"/>
    <row r="5005" s="1" customFormat="1" ht="15" x14ac:dyDescent="0.25"/>
    <row r="5006" s="1" customFormat="1" ht="15" x14ac:dyDescent="0.25"/>
    <row r="5007" s="1" customFormat="1" ht="15" x14ac:dyDescent="0.25"/>
    <row r="5008" s="1" customFormat="1" ht="15" x14ac:dyDescent="0.25"/>
    <row r="5009" s="1" customFormat="1" ht="15" x14ac:dyDescent="0.25"/>
    <row r="5010" s="1" customFormat="1" ht="15" x14ac:dyDescent="0.25"/>
    <row r="5011" s="1" customFormat="1" ht="15" x14ac:dyDescent="0.25"/>
    <row r="5012" s="1" customFormat="1" ht="15" x14ac:dyDescent="0.25"/>
    <row r="5013" s="1" customFormat="1" ht="15" x14ac:dyDescent="0.25"/>
    <row r="5014" s="1" customFormat="1" ht="15" x14ac:dyDescent="0.25"/>
    <row r="5015" s="1" customFormat="1" ht="15" x14ac:dyDescent="0.25"/>
    <row r="5016" s="1" customFormat="1" ht="15" x14ac:dyDescent="0.25"/>
    <row r="5017" s="1" customFormat="1" ht="15" x14ac:dyDescent="0.25"/>
    <row r="5018" s="1" customFormat="1" ht="15" x14ac:dyDescent="0.25"/>
    <row r="5019" s="1" customFormat="1" ht="15" x14ac:dyDescent="0.25"/>
    <row r="5020" s="1" customFormat="1" ht="15" x14ac:dyDescent="0.25"/>
    <row r="5021" s="1" customFormat="1" ht="15" x14ac:dyDescent="0.25"/>
    <row r="5022" s="1" customFormat="1" ht="15" x14ac:dyDescent="0.25"/>
    <row r="5023" s="1" customFormat="1" ht="15" x14ac:dyDescent="0.25"/>
    <row r="5024" s="1" customFormat="1" ht="15" x14ac:dyDescent="0.25"/>
    <row r="5025" s="1" customFormat="1" ht="15" x14ac:dyDescent="0.25"/>
    <row r="5026" s="1" customFormat="1" ht="15" x14ac:dyDescent="0.25"/>
    <row r="5027" s="1" customFormat="1" ht="15" x14ac:dyDescent="0.25"/>
    <row r="5028" s="1" customFormat="1" ht="15" x14ac:dyDescent="0.25"/>
    <row r="5029" s="1" customFormat="1" ht="15" x14ac:dyDescent="0.25"/>
    <row r="5030" s="1" customFormat="1" ht="15" x14ac:dyDescent="0.25"/>
    <row r="5031" s="1" customFormat="1" ht="15" x14ac:dyDescent="0.25"/>
    <row r="5032" s="1" customFormat="1" ht="15" x14ac:dyDescent="0.25"/>
    <row r="5033" s="1" customFormat="1" ht="15" x14ac:dyDescent="0.25"/>
    <row r="5034" s="1" customFormat="1" ht="15" x14ac:dyDescent="0.25"/>
    <row r="5035" s="1" customFormat="1" ht="15" x14ac:dyDescent="0.25"/>
    <row r="5036" s="1" customFormat="1" ht="15" x14ac:dyDescent="0.25"/>
    <row r="5037" s="1" customFormat="1" ht="15" x14ac:dyDescent="0.25"/>
    <row r="5038" s="1" customFormat="1" ht="15" x14ac:dyDescent="0.25"/>
    <row r="5039" s="1" customFormat="1" ht="15" x14ac:dyDescent="0.25"/>
    <row r="5040" s="1" customFormat="1" ht="15" x14ac:dyDescent="0.25"/>
    <row r="5041" s="1" customFormat="1" ht="15" x14ac:dyDescent="0.25"/>
    <row r="5042" s="1" customFormat="1" ht="15" x14ac:dyDescent="0.25"/>
    <row r="5043" s="1" customFormat="1" ht="15" x14ac:dyDescent="0.25"/>
    <row r="5044" s="1" customFormat="1" ht="15" x14ac:dyDescent="0.25"/>
    <row r="5045" s="1" customFormat="1" ht="15" x14ac:dyDescent="0.25"/>
    <row r="5046" s="1" customFormat="1" ht="15" x14ac:dyDescent="0.25"/>
    <row r="5047" s="1" customFormat="1" ht="15" x14ac:dyDescent="0.25"/>
    <row r="5048" s="1" customFormat="1" ht="15" x14ac:dyDescent="0.25"/>
    <row r="5049" s="1" customFormat="1" ht="15" x14ac:dyDescent="0.25"/>
    <row r="5050" s="1" customFormat="1" ht="15" x14ac:dyDescent="0.25"/>
    <row r="5051" s="1" customFormat="1" ht="15" x14ac:dyDescent="0.25"/>
    <row r="5052" s="1" customFormat="1" ht="15" x14ac:dyDescent="0.25"/>
    <row r="5053" s="1" customFormat="1" ht="15" x14ac:dyDescent="0.25"/>
    <row r="5054" s="1" customFormat="1" ht="15" x14ac:dyDescent="0.25"/>
    <row r="5055" s="1" customFormat="1" ht="15" x14ac:dyDescent="0.25"/>
    <row r="5056" s="1" customFormat="1" ht="15" x14ac:dyDescent="0.25"/>
    <row r="5057" s="1" customFormat="1" ht="15" x14ac:dyDescent="0.25"/>
    <row r="5058" s="1" customFormat="1" ht="15" x14ac:dyDescent="0.25"/>
    <row r="5059" s="1" customFormat="1" ht="15" x14ac:dyDescent="0.25"/>
    <row r="5060" s="1" customFormat="1" ht="15" x14ac:dyDescent="0.25"/>
    <row r="5061" s="1" customFormat="1" ht="15" x14ac:dyDescent="0.25"/>
    <row r="5062" s="1" customFormat="1" ht="15" x14ac:dyDescent="0.25"/>
    <row r="5063" s="1" customFormat="1" ht="15" x14ac:dyDescent="0.25"/>
    <row r="5064" s="1" customFormat="1" ht="15" x14ac:dyDescent="0.25"/>
    <row r="5065" s="1" customFormat="1" ht="15" x14ac:dyDescent="0.25"/>
    <row r="5066" s="1" customFormat="1" ht="15" x14ac:dyDescent="0.25"/>
    <row r="5067" s="1" customFormat="1" ht="15" x14ac:dyDescent="0.25"/>
    <row r="5068" s="1" customFormat="1" ht="15" x14ac:dyDescent="0.25"/>
    <row r="5069" s="1" customFormat="1" ht="15" x14ac:dyDescent="0.25"/>
    <row r="5070" s="1" customFormat="1" ht="15" x14ac:dyDescent="0.25"/>
    <row r="5071" s="1" customFormat="1" ht="15" x14ac:dyDescent="0.25"/>
    <row r="5072" s="1" customFormat="1" ht="15" x14ac:dyDescent="0.25"/>
    <row r="5073" s="1" customFormat="1" ht="15" x14ac:dyDescent="0.25"/>
    <row r="5074" s="1" customFormat="1" ht="15" x14ac:dyDescent="0.25"/>
    <row r="5075" s="1" customFormat="1" ht="15" x14ac:dyDescent="0.25"/>
    <row r="5076" s="1" customFormat="1" ht="15" x14ac:dyDescent="0.25"/>
    <row r="5077" s="1" customFormat="1" ht="15" x14ac:dyDescent="0.25"/>
    <row r="5078" s="1" customFormat="1" ht="15" x14ac:dyDescent="0.25"/>
    <row r="5079" s="1" customFormat="1" ht="15" x14ac:dyDescent="0.25"/>
    <row r="5080" s="1" customFormat="1" ht="15" x14ac:dyDescent="0.25"/>
    <row r="5081" s="1" customFormat="1" ht="15" x14ac:dyDescent="0.25"/>
    <row r="5082" s="1" customFormat="1" ht="15" x14ac:dyDescent="0.25"/>
    <row r="5083" s="1" customFormat="1" ht="15" x14ac:dyDescent="0.25"/>
    <row r="5084" s="1" customFormat="1" ht="15" x14ac:dyDescent="0.25"/>
    <row r="5085" s="1" customFormat="1" ht="15" x14ac:dyDescent="0.25"/>
    <row r="5086" s="1" customFormat="1" ht="15" x14ac:dyDescent="0.25"/>
    <row r="5087" s="1" customFormat="1" ht="15" x14ac:dyDescent="0.25"/>
    <row r="5088" s="1" customFormat="1" ht="15" x14ac:dyDescent="0.25"/>
    <row r="5089" s="1" customFormat="1" ht="15" x14ac:dyDescent="0.25"/>
    <row r="5090" s="1" customFormat="1" ht="15" x14ac:dyDescent="0.25"/>
    <row r="5091" s="1" customFormat="1" ht="15" x14ac:dyDescent="0.25"/>
    <row r="5092" s="1" customFormat="1" ht="15" x14ac:dyDescent="0.25"/>
    <row r="5093" s="1" customFormat="1" ht="15" x14ac:dyDescent="0.25"/>
    <row r="5094" s="1" customFormat="1" ht="15" x14ac:dyDescent="0.25"/>
    <row r="5095" s="1" customFormat="1" ht="15" x14ac:dyDescent="0.25"/>
    <row r="5096" s="1" customFormat="1" ht="15" x14ac:dyDescent="0.25"/>
    <row r="5097" s="1" customFormat="1" ht="15" x14ac:dyDescent="0.25"/>
    <row r="5098" s="1" customFormat="1" ht="15" x14ac:dyDescent="0.25"/>
    <row r="5099" s="1" customFormat="1" ht="15" x14ac:dyDescent="0.25"/>
    <row r="5100" s="1" customFormat="1" ht="15" x14ac:dyDescent="0.25"/>
    <row r="5101" s="1" customFormat="1" ht="15" x14ac:dyDescent="0.25"/>
    <row r="5102" s="1" customFormat="1" ht="15" x14ac:dyDescent="0.25"/>
    <row r="5103" s="1" customFormat="1" ht="15" x14ac:dyDescent="0.25"/>
    <row r="5104" s="1" customFormat="1" ht="15" x14ac:dyDescent="0.25"/>
    <row r="5105" s="1" customFormat="1" ht="15" x14ac:dyDescent="0.25"/>
    <row r="5106" s="1" customFormat="1" ht="15" x14ac:dyDescent="0.25"/>
    <row r="5107" s="1" customFormat="1" ht="15" x14ac:dyDescent="0.25"/>
    <row r="5108" s="1" customFormat="1" ht="15" x14ac:dyDescent="0.25"/>
    <row r="5109" s="1" customFormat="1" ht="15" x14ac:dyDescent="0.25"/>
    <row r="5110" s="1" customFormat="1" ht="15" x14ac:dyDescent="0.25"/>
    <row r="5111" s="1" customFormat="1" ht="15" x14ac:dyDescent="0.25"/>
    <row r="5112" s="1" customFormat="1" ht="15" x14ac:dyDescent="0.25"/>
    <row r="5113" s="1" customFormat="1" ht="15" x14ac:dyDescent="0.25"/>
    <row r="5114" s="1" customFormat="1" ht="15" x14ac:dyDescent="0.25"/>
    <row r="5115" s="1" customFormat="1" ht="15" x14ac:dyDescent="0.25"/>
    <row r="5116" s="1" customFormat="1" ht="15" x14ac:dyDescent="0.25"/>
    <row r="5117" s="1" customFormat="1" ht="15" x14ac:dyDescent="0.25"/>
    <row r="5118" s="1" customFormat="1" ht="15" x14ac:dyDescent="0.25"/>
    <row r="5119" s="1" customFormat="1" ht="15" x14ac:dyDescent="0.25"/>
    <row r="5120" s="1" customFormat="1" ht="15" x14ac:dyDescent="0.25"/>
    <row r="5121" s="1" customFormat="1" ht="15" x14ac:dyDescent="0.25"/>
    <row r="5122" s="1" customFormat="1" ht="15" x14ac:dyDescent="0.25"/>
    <row r="5123" s="1" customFormat="1" ht="15" x14ac:dyDescent="0.25"/>
    <row r="5124" s="1" customFormat="1" ht="15" x14ac:dyDescent="0.25"/>
    <row r="5125" s="1" customFormat="1" ht="15" x14ac:dyDescent="0.25"/>
    <row r="5126" s="1" customFormat="1" ht="15" x14ac:dyDescent="0.25"/>
    <row r="5127" s="1" customFormat="1" ht="15" x14ac:dyDescent="0.25"/>
    <row r="5128" s="1" customFormat="1" ht="15" x14ac:dyDescent="0.25"/>
    <row r="5129" s="1" customFormat="1" ht="15" x14ac:dyDescent="0.25"/>
    <row r="5130" s="1" customFormat="1" ht="15" x14ac:dyDescent="0.25"/>
    <row r="5131" s="1" customFormat="1" ht="15" x14ac:dyDescent="0.25"/>
    <row r="5132" s="1" customFormat="1" ht="15" x14ac:dyDescent="0.25"/>
    <row r="5133" s="1" customFormat="1" ht="15" x14ac:dyDescent="0.25"/>
    <row r="5134" s="1" customFormat="1" ht="15" x14ac:dyDescent="0.25"/>
    <row r="5135" s="1" customFormat="1" ht="15" x14ac:dyDescent="0.25"/>
    <row r="5136" s="1" customFormat="1" ht="15" x14ac:dyDescent="0.25"/>
    <row r="5137" s="1" customFormat="1" ht="15" x14ac:dyDescent="0.25"/>
    <row r="5138" s="1" customFormat="1" ht="15" x14ac:dyDescent="0.25"/>
    <row r="5139" s="1" customFormat="1" ht="15" x14ac:dyDescent="0.25"/>
    <row r="5140" s="1" customFormat="1" ht="15" x14ac:dyDescent="0.25"/>
    <row r="5141" s="1" customFormat="1" ht="15" x14ac:dyDescent="0.25"/>
    <row r="5142" s="1" customFormat="1" ht="15" x14ac:dyDescent="0.25"/>
    <row r="5143" s="1" customFormat="1" ht="15" x14ac:dyDescent="0.25"/>
    <row r="5144" s="1" customFormat="1" ht="15" x14ac:dyDescent="0.25"/>
    <row r="5145" s="1" customFormat="1" ht="15" x14ac:dyDescent="0.25"/>
    <row r="5146" s="1" customFormat="1" ht="15" x14ac:dyDescent="0.25"/>
    <row r="5147" s="1" customFormat="1" ht="15" x14ac:dyDescent="0.25"/>
    <row r="5148" s="1" customFormat="1" ht="15" x14ac:dyDescent="0.25"/>
    <row r="5149" s="1" customFormat="1" ht="15" x14ac:dyDescent="0.25"/>
    <row r="5150" s="1" customFormat="1" ht="15" x14ac:dyDescent="0.25"/>
    <row r="5151" s="1" customFormat="1" ht="15" x14ac:dyDescent="0.25"/>
    <row r="5152" s="1" customFormat="1" ht="15" x14ac:dyDescent="0.25"/>
    <row r="5153" s="1" customFormat="1" ht="15" x14ac:dyDescent="0.25"/>
    <row r="5154" s="1" customFormat="1" ht="15" x14ac:dyDescent="0.25"/>
    <row r="5155" s="1" customFormat="1" ht="15" x14ac:dyDescent="0.25"/>
    <row r="5156" s="1" customFormat="1" ht="15" x14ac:dyDescent="0.25"/>
    <row r="5157" s="1" customFormat="1" ht="15" x14ac:dyDescent="0.25"/>
    <row r="5158" s="1" customFormat="1" ht="15" x14ac:dyDescent="0.25"/>
    <row r="5159" s="1" customFormat="1" ht="15" x14ac:dyDescent="0.25"/>
    <row r="5160" s="1" customFormat="1" ht="15" x14ac:dyDescent="0.25"/>
    <row r="5161" s="1" customFormat="1" ht="15" x14ac:dyDescent="0.25"/>
    <row r="5162" s="1" customFormat="1" ht="15" x14ac:dyDescent="0.25"/>
    <row r="5163" s="1" customFormat="1" ht="15" x14ac:dyDescent="0.25"/>
    <row r="5164" s="1" customFormat="1" ht="15" x14ac:dyDescent="0.25"/>
    <row r="5165" s="1" customFormat="1" ht="15" x14ac:dyDescent="0.25"/>
    <row r="5166" s="1" customFormat="1" ht="15" x14ac:dyDescent="0.25"/>
    <row r="5167" s="1" customFormat="1" ht="15" x14ac:dyDescent="0.25"/>
    <row r="5168" s="1" customFormat="1" ht="15" x14ac:dyDescent="0.25"/>
    <row r="5169" s="1" customFormat="1" ht="15" x14ac:dyDescent="0.25"/>
    <row r="5170" s="1" customFormat="1" ht="15" x14ac:dyDescent="0.25"/>
    <row r="5171" s="1" customFormat="1" ht="15" x14ac:dyDescent="0.25"/>
    <row r="5172" s="1" customFormat="1" ht="15" x14ac:dyDescent="0.25"/>
    <row r="5173" s="1" customFormat="1" ht="15" x14ac:dyDescent="0.25"/>
    <row r="5174" s="1" customFormat="1" ht="15" x14ac:dyDescent="0.25"/>
    <row r="5175" s="1" customFormat="1" ht="15" x14ac:dyDescent="0.25"/>
    <row r="5176" s="1" customFormat="1" ht="15" x14ac:dyDescent="0.25"/>
    <row r="5177" s="1" customFormat="1" ht="15" x14ac:dyDescent="0.25"/>
    <row r="5178" s="1" customFormat="1" ht="15" x14ac:dyDescent="0.25"/>
    <row r="5179" s="1" customFormat="1" ht="15" x14ac:dyDescent="0.25"/>
    <row r="5180" s="1" customFormat="1" ht="15" x14ac:dyDescent="0.25"/>
    <row r="5181" s="1" customFormat="1" ht="15" x14ac:dyDescent="0.25"/>
    <row r="5182" s="1" customFormat="1" ht="15" x14ac:dyDescent="0.25"/>
    <row r="5183" s="1" customFormat="1" ht="15" x14ac:dyDescent="0.25"/>
    <row r="5184" s="1" customFormat="1" ht="15" x14ac:dyDescent="0.25"/>
    <row r="5185" s="1" customFormat="1" ht="15" x14ac:dyDescent="0.25"/>
    <row r="5186" s="1" customFormat="1" ht="15" x14ac:dyDescent="0.25"/>
    <row r="5187" s="1" customFormat="1" ht="15" x14ac:dyDescent="0.25"/>
    <row r="5188" s="1" customFormat="1" ht="15" x14ac:dyDescent="0.25"/>
    <row r="5189" s="1" customFormat="1" ht="15" x14ac:dyDescent="0.25"/>
    <row r="5190" s="1" customFormat="1" ht="15" x14ac:dyDescent="0.25"/>
    <row r="5191" s="1" customFormat="1" ht="15" x14ac:dyDescent="0.25"/>
    <row r="5192" s="1" customFormat="1" ht="15" x14ac:dyDescent="0.25"/>
    <row r="5193" s="1" customFormat="1" ht="15" x14ac:dyDescent="0.25"/>
    <row r="5194" s="1" customFormat="1" ht="15" x14ac:dyDescent="0.25"/>
    <row r="5195" s="1" customFormat="1" ht="15" x14ac:dyDescent="0.25"/>
    <row r="5196" s="1" customFormat="1" ht="15" x14ac:dyDescent="0.25"/>
    <row r="5197" s="1" customFormat="1" ht="15" x14ac:dyDescent="0.25"/>
    <row r="5198" s="1" customFormat="1" ht="15" x14ac:dyDescent="0.25"/>
    <row r="5199" s="1" customFormat="1" ht="15" x14ac:dyDescent="0.25"/>
    <row r="5200" s="1" customFormat="1" ht="15" x14ac:dyDescent="0.25"/>
    <row r="5201" s="1" customFormat="1" ht="15" x14ac:dyDescent="0.25"/>
    <row r="5202" s="1" customFormat="1" ht="15" x14ac:dyDescent="0.25"/>
    <row r="5203" s="1" customFormat="1" ht="15" x14ac:dyDescent="0.25"/>
    <row r="5204" s="1" customFormat="1" ht="15" x14ac:dyDescent="0.25"/>
    <row r="5205" s="1" customFormat="1" ht="15" x14ac:dyDescent="0.25"/>
    <row r="5206" s="1" customFormat="1" ht="15" x14ac:dyDescent="0.25"/>
    <row r="5207" s="1" customFormat="1" ht="15" x14ac:dyDescent="0.25"/>
    <row r="5208" s="1" customFormat="1" ht="15" x14ac:dyDescent="0.25"/>
    <row r="5209" s="1" customFormat="1" ht="15" x14ac:dyDescent="0.25"/>
    <row r="5210" s="1" customFormat="1" ht="15" x14ac:dyDescent="0.25"/>
    <row r="5211" s="1" customFormat="1" ht="15" x14ac:dyDescent="0.25"/>
    <row r="5212" s="1" customFormat="1" ht="15" x14ac:dyDescent="0.25"/>
    <row r="5213" s="1" customFormat="1" ht="15" x14ac:dyDescent="0.25"/>
    <row r="5214" s="1" customFormat="1" ht="15" x14ac:dyDescent="0.25"/>
    <row r="5215" s="1" customFormat="1" ht="15" x14ac:dyDescent="0.25"/>
    <row r="5216" s="1" customFormat="1" ht="15" x14ac:dyDescent="0.25"/>
    <row r="5217" s="1" customFormat="1" ht="15" x14ac:dyDescent="0.25"/>
    <row r="5218" s="1" customFormat="1" ht="15" x14ac:dyDescent="0.25"/>
    <row r="5219" s="1" customFormat="1" ht="15" x14ac:dyDescent="0.25"/>
    <row r="5220" s="1" customFormat="1" ht="15" x14ac:dyDescent="0.25"/>
    <row r="5221" s="1" customFormat="1" ht="15" x14ac:dyDescent="0.25"/>
    <row r="5222" s="1" customFormat="1" ht="15" x14ac:dyDescent="0.25"/>
    <row r="5223" s="1" customFormat="1" ht="15" x14ac:dyDescent="0.25"/>
    <row r="5224" s="1" customFormat="1" ht="15" x14ac:dyDescent="0.25"/>
    <row r="5225" s="1" customFormat="1" ht="15" x14ac:dyDescent="0.25"/>
    <row r="5226" s="1" customFormat="1" ht="15" x14ac:dyDescent="0.25"/>
    <row r="5227" s="1" customFormat="1" ht="15" x14ac:dyDescent="0.25"/>
    <row r="5228" s="1" customFormat="1" ht="15" x14ac:dyDescent="0.25"/>
    <row r="5229" s="1" customFormat="1" ht="15" x14ac:dyDescent="0.25"/>
    <row r="5230" s="1" customFormat="1" ht="15" x14ac:dyDescent="0.25"/>
    <row r="5231" s="1" customFormat="1" ht="15" x14ac:dyDescent="0.25"/>
    <row r="5232" s="1" customFormat="1" ht="15" x14ac:dyDescent="0.25"/>
    <row r="5233" s="1" customFormat="1" ht="15" x14ac:dyDescent="0.25"/>
    <row r="5234" s="1" customFormat="1" ht="15" x14ac:dyDescent="0.25"/>
    <row r="5235" s="1" customFormat="1" ht="15" x14ac:dyDescent="0.25"/>
    <row r="5236" s="1" customFormat="1" ht="15" x14ac:dyDescent="0.25"/>
    <row r="5237" s="1" customFormat="1" ht="15" x14ac:dyDescent="0.25"/>
    <row r="5238" s="1" customFormat="1" ht="15" x14ac:dyDescent="0.25"/>
    <row r="5239" s="1" customFormat="1" ht="15" x14ac:dyDescent="0.25"/>
    <row r="5240" s="1" customFormat="1" ht="15" x14ac:dyDescent="0.25"/>
    <row r="5241" s="1" customFormat="1" ht="15" x14ac:dyDescent="0.25"/>
    <row r="5242" s="1" customFormat="1" ht="15" x14ac:dyDescent="0.25"/>
    <row r="5243" s="1" customFormat="1" ht="15" x14ac:dyDescent="0.25"/>
    <row r="5244" s="1" customFormat="1" ht="15" x14ac:dyDescent="0.25"/>
    <row r="5245" s="1" customFormat="1" ht="15" x14ac:dyDescent="0.25"/>
    <row r="5246" s="1" customFormat="1" ht="15" x14ac:dyDescent="0.25"/>
    <row r="5247" s="1" customFormat="1" ht="15" x14ac:dyDescent="0.25"/>
    <row r="5248" s="1" customFormat="1" ht="15" x14ac:dyDescent="0.25"/>
    <row r="5249" s="1" customFormat="1" ht="15" x14ac:dyDescent="0.25"/>
    <row r="5250" s="1" customFormat="1" ht="15" x14ac:dyDescent="0.25"/>
    <row r="5251" s="1" customFormat="1" ht="15" x14ac:dyDescent="0.25"/>
    <row r="5252" s="1" customFormat="1" ht="15" x14ac:dyDescent="0.25"/>
    <row r="5253" s="1" customFormat="1" ht="15" x14ac:dyDescent="0.25"/>
    <row r="5254" s="1" customFormat="1" ht="15" x14ac:dyDescent="0.25"/>
    <row r="5255" s="1" customFormat="1" ht="15" x14ac:dyDescent="0.25"/>
    <row r="5256" s="1" customFormat="1" ht="15" x14ac:dyDescent="0.25"/>
    <row r="5257" s="1" customFormat="1" ht="15" x14ac:dyDescent="0.25"/>
    <row r="5258" s="1" customFormat="1" ht="15" x14ac:dyDescent="0.25"/>
    <row r="5259" s="1" customFormat="1" ht="15" x14ac:dyDescent="0.25"/>
    <row r="5260" s="1" customFormat="1" ht="15" x14ac:dyDescent="0.25"/>
    <row r="5261" s="1" customFormat="1" ht="15" x14ac:dyDescent="0.25"/>
    <row r="5262" s="1" customFormat="1" ht="15" x14ac:dyDescent="0.25"/>
    <row r="5263" s="1" customFormat="1" ht="15" x14ac:dyDescent="0.25"/>
    <row r="5264" s="1" customFormat="1" ht="15" x14ac:dyDescent="0.25"/>
    <row r="5265" s="1" customFormat="1" ht="15" x14ac:dyDescent="0.25"/>
    <row r="5266" s="1" customFormat="1" ht="15" x14ac:dyDescent="0.25"/>
    <row r="5267" s="1" customFormat="1" ht="15" x14ac:dyDescent="0.25"/>
    <row r="5268" s="1" customFormat="1" ht="15" x14ac:dyDescent="0.25"/>
    <row r="5269" s="1" customFormat="1" ht="15" x14ac:dyDescent="0.25"/>
    <row r="5270" s="1" customFormat="1" ht="15" x14ac:dyDescent="0.25"/>
    <row r="5271" s="1" customFormat="1" ht="15" x14ac:dyDescent="0.25"/>
    <row r="5272" s="1" customFormat="1" ht="15" x14ac:dyDescent="0.25"/>
    <row r="5273" s="1" customFormat="1" ht="15" x14ac:dyDescent="0.25"/>
    <row r="5274" s="1" customFormat="1" ht="15" x14ac:dyDescent="0.25"/>
    <row r="5275" s="1" customFormat="1" ht="15" x14ac:dyDescent="0.25"/>
    <row r="5276" s="1" customFormat="1" ht="15" x14ac:dyDescent="0.25"/>
    <row r="5277" s="1" customFormat="1" ht="15" x14ac:dyDescent="0.25"/>
    <row r="5278" s="1" customFormat="1" ht="15" x14ac:dyDescent="0.25"/>
    <row r="5279" s="1" customFormat="1" ht="15" x14ac:dyDescent="0.25"/>
    <row r="5280" s="1" customFormat="1" ht="15" x14ac:dyDescent="0.25"/>
    <row r="5281" s="1" customFormat="1" ht="15" x14ac:dyDescent="0.25"/>
    <row r="5282" s="1" customFormat="1" ht="15" x14ac:dyDescent="0.25"/>
    <row r="5283" s="1" customFormat="1" ht="15" x14ac:dyDescent="0.25"/>
    <row r="5284" s="1" customFormat="1" ht="15" x14ac:dyDescent="0.25"/>
    <row r="5285" s="1" customFormat="1" ht="15" x14ac:dyDescent="0.25"/>
    <row r="5286" s="1" customFormat="1" ht="15" x14ac:dyDescent="0.25"/>
    <row r="5287" s="1" customFormat="1" ht="15" x14ac:dyDescent="0.25"/>
    <row r="5288" s="1" customFormat="1" ht="15" x14ac:dyDescent="0.25"/>
    <row r="5289" s="1" customFormat="1" ht="15" x14ac:dyDescent="0.25"/>
    <row r="5290" s="1" customFormat="1" ht="15" x14ac:dyDescent="0.25"/>
    <row r="5291" s="1" customFormat="1" ht="15" x14ac:dyDescent="0.25"/>
    <row r="5292" s="1" customFormat="1" ht="15" x14ac:dyDescent="0.25"/>
    <row r="5293" s="1" customFormat="1" ht="15" x14ac:dyDescent="0.25"/>
    <row r="5294" s="1" customFormat="1" ht="15" x14ac:dyDescent="0.25"/>
    <row r="5295" s="1" customFormat="1" ht="15" x14ac:dyDescent="0.25"/>
    <row r="5296" s="1" customFormat="1" ht="15" x14ac:dyDescent="0.25"/>
    <row r="5297" s="1" customFormat="1" ht="15" x14ac:dyDescent="0.25"/>
    <row r="5298" s="1" customFormat="1" ht="15" x14ac:dyDescent="0.25"/>
    <row r="5299" s="1" customFormat="1" ht="15" x14ac:dyDescent="0.25"/>
    <row r="5300" s="1" customFormat="1" ht="15" x14ac:dyDescent="0.25"/>
    <row r="5301" s="1" customFormat="1" ht="15" x14ac:dyDescent="0.25"/>
    <row r="5302" s="1" customFormat="1" ht="15" x14ac:dyDescent="0.25"/>
    <row r="5303" s="1" customFormat="1" ht="15" x14ac:dyDescent="0.25"/>
    <row r="5304" s="1" customFormat="1" ht="15" x14ac:dyDescent="0.25"/>
    <row r="5305" s="1" customFormat="1" ht="15" x14ac:dyDescent="0.25"/>
    <row r="5306" s="1" customFormat="1" ht="15" x14ac:dyDescent="0.25"/>
    <row r="5307" s="1" customFormat="1" ht="15" x14ac:dyDescent="0.25"/>
    <row r="5308" s="1" customFormat="1" ht="15" x14ac:dyDescent="0.25"/>
    <row r="5309" s="1" customFormat="1" ht="15" x14ac:dyDescent="0.25"/>
    <row r="5310" s="1" customFormat="1" ht="15" x14ac:dyDescent="0.25"/>
    <row r="5311" s="1" customFormat="1" ht="15" x14ac:dyDescent="0.25"/>
    <row r="5312" s="1" customFormat="1" ht="15" x14ac:dyDescent="0.25"/>
    <row r="5313" s="1" customFormat="1" ht="15" x14ac:dyDescent="0.25"/>
    <row r="5314" s="1" customFormat="1" ht="15" x14ac:dyDescent="0.25"/>
    <row r="5315" s="1" customFormat="1" ht="15" x14ac:dyDescent="0.25"/>
    <row r="5316" s="1" customFormat="1" ht="15" x14ac:dyDescent="0.25"/>
    <row r="5317" s="1" customFormat="1" ht="15" x14ac:dyDescent="0.25"/>
    <row r="5318" s="1" customFormat="1" ht="15" x14ac:dyDescent="0.25"/>
    <row r="5319" s="1" customFormat="1" ht="15" x14ac:dyDescent="0.25"/>
    <row r="5320" s="1" customFormat="1" ht="15" x14ac:dyDescent="0.25"/>
    <row r="5321" s="1" customFormat="1" ht="15" x14ac:dyDescent="0.25"/>
    <row r="5322" s="1" customFormat="1" ht="15" x14ac:dyDescent="0.25"/>
    <row r="5323" s="1" customFormat="1" ht="15" x14ac:dyDescent="0.25"/>
    <row r="5324" s="1" customFormat="1" ht="15" x14ac:dyDescent="0.25"/>
    <row r="5325" s="1" customFormat="1" ht="15" x14ac:dyDescent="0.25"/>
    <row r="5326" s="1" customFormat="1" ht="15" x14ac:dyDescent="0.25"/>
    <row r="5327" s="1" customFormat="1" ht="15" x14ac:dyDescent="0.25"/>
    <row r="5328" s="1" customFormat="1" ht="15" x14ac:dyDescent="0.25"/>
    <row r="5329" s="1" customFormat="1" ht="15" x14ac:dyDescent="0.25"/>
    <row r="5330" s="1" customFormat="1" ht="15" x14ac:dyDescent="0.25"/>
    <row r="5331" s="1" customFormat="1" ht="15" x14ac:dyDescent="0.25"/>
    <row r="5332" s="1" customFormat="1" ht="15" x14ac:dyDescent="0.25"/>
    <row r="5333" s="1" customFormat="1" ht="15" x14ac:dyDescent="0.25"/>
    <row r="5334" s="1" customFormat="1" ht="15" x14ac:dyDescent="0.25"/>
    <row r="5335" s="1" customFormat="1" ht="15" x14ac:dyDescent="0.25"/>
    <row r="5336" s="1" customFormat="1" ht="15" x14ac:dyDescent="0.25"/>
    <row r="5337" s="1" customFormat="1" ht="15" x14ac:dyDescent="0.25"/>
    <row r="5338" s="1" customFormat="1" ht="15" x14ac:dyDescent="0.25"/>
    <row r="5339" s="1" customFormat="1" ht="15" x14ac:dyDescent="0.25"/>
    <row r="5340" s="1" customFormat="1" ht="15" x14ac:dyDescent="0.25"/>
    <row r="5341" s="1" customFormat="1" ht="15" x14ac:dyDescent="0.25"/>
    <row r="5342" s="1" customFormat="1" ht="15" x14ac:dyDescent="0.25"/>
    <row r="5343" s="1" customFormat="1" ht="15" x14ac:dyDescent="0.25"/>
    <row r="5344" s="1" customFormat="1" ht="15" x14ac:dyDescent="0.25"/>
    <row r="5345" s="1" customFormat="1" ht="15" x14ac:dyDescent="0.25"/>
    <row r="5346" s="1" customFormat="1" ht="15" x14ac:dyDescent="0.25"/>
    <row r="5347" s="1" customFormat="1" ht="15" x14ac:dyDescent="0.25"/>
    <row r="5348" s="1" customFormat="1" ht="15" x14ac:dyDescent="0.25"/>
    <row r="5349" s="1" customFormat="1" ht="15" x14ac:dyDescent="0.25"/>
    <row r="5350" s="1" customFormat="1" ht="15" x14ac:dyDescent="0.25"/>
    <row r="5351" s="1" customFormat="1" ht="15" x14ac:dyDescent="0.25"/>
    <row r="5352" s="1" customFormat="1" ht="15" x14ac:dyDescent="0.25"/>
    <row r="5353" s="1" customFormat="1" ht="15" x14ac:dyDescent="0.25"/>
    <row r="5354" s="1" customFormat="1" ht="15" x14ac:dyDescent="0.25"/>
    <row r="5355" s="1" customFormat="1" ht="15" x14ac:dyDescent="0.25"/>
    <row r="5356" s="1" customFormat="1" ht="15" x14ac:dyDescent="0.25"/>
    <row r="5357" s="1" customFormat="1" ht="15" x14ac:dyDescent="0.25"/>
    <row r="5358" s="1" customFormat="1" ht="15" x14ac:dyDescent="0.25"/>
    <row r="5359" s="1" customFormat="1" ht="15" x14ac:dyDescent="0.25"/>
    <row r="5360" s="1" customFormat="1" ht="15" x14ac:dyDescent="0.25"/>
    <row r="5361" s="1" customFormat="1" ht="15" x14ac:dyDescent="0.25"/>
    <row r="5362" s="1" customFormat="1" ht="15" x14ac:dyDescent="0.25"/>
    <row r="5363" s="1" customFormat="1" ht="15" x14ac:dyDescent="0.25"/>
    <row r="5364" s="1" customFormat="1" ht="15" x14ac:dyDescent="0.25"/>
    <row r="5365" s="1" customFormat="1" ht="15" x14ac:dyDescent="0.25"/>
    <row r="5366" s="1" customFormat="1" ht="15" x14ac:dyDescent="0.25"/>
    <row r="5367" s="1" customFormat="1" ht="15" x14ac:dyDescent="0.25"/>
    <row r="5368" s="1" customFormat="1" ht="15" x14ac:dyDescent="0.25"/>
    <row r="5369" s="1" customFormat="1" ht="15" x14ac:dyDescent="0.25"/>
    <row r="5370" s="1" customFormat="1" ht="15" x14ac:dyDescent="0.25"/>
    <row r="5371" s="1" customFormat="1" ht="15" x14ac:dyDescent="0.25"/>
    <row r="5372" s="1" customFormat="1" ht="15" x14ac:dyDescent="0.25"/>
    <row r="5373" s="1" customFormat="1" ht="15" x14ac:dyDescent="0.25"/>
    <row r="5374" s="1" customFormat="1" ht="15" x14ac:dyDescent="0.25"/>
    <row r="5375" s="1" customFormat="1" ht="15" x14ac:dyDescent="0.25"/>
    <row r="5376" s="1" customFormat="1" ht="15" x14ac:dyDescent="0.25"/>
    <row r="5377" s="1" customFormat="1" ht="15" x14ac:dyDescent="0.25"/>
    <row r="5378" s="1" customFormat="1" ht="15" x14ac:dyDescent="0.25"/>
    <row r="5379" s="1" customFormat="1" ht="15" x14ac:dyDescent="0.25"/>
    <row r="5380" s="1" customFormat="1" ht="15" x14ac:dyDescent="0.25"/>
    <row r="5381" s="1" customFormat="1" ht="15" x14ac:dyDescent="0.25"/>
    <row r="5382" s="1" customFormat="1" ht="15" x14ac:dyDescent="0.25"/>
    <row r="5383" s="1" customFormat="1" ht="15" x14ac:dyDescent="0.25"/>
    <row r="5384" s="1" customFormat="1" ht="15" x14ac:dyDescent="0.25"/>
    <row r="5385" s="1" customFormat="1" ht="15" x14ac:dyDescent="0.25"/>
    <row r="5386" s="1" customFormat="1" ht="15" x14ac:dyDescent="0.25"/>
    <row r="5387" s="1" customFormat="1" ht="15" x14ac:dyDescent="0.25"/>
    <row r="5388" s="1" customFormat="1" ht="15" x14ac:dyDescent="0.25"/>
    <row r="5389" s="1" customFormat="1" ht="15" x14ac:dyDescent="0.25"/>
    <row r="5390" s="1" customFormat="1" ht="15" x14ac:dyDescent="0.25"/>
    <row r="5391" s="1" customFormat="1" ht="15" x14ac:dyDescent="0.25"/>
    <row r="5392" s="1" customFormat="1" ht="15" x14ac:dyDescent="0.25"/>
    <row r="5393" s="1" customFormat="1" ht="15" x14ac:dyDescent="0.25"/>
    <row r="5394" s="1" customFormat="1" ht="15" x14ac:dyDescent="0.25"/>
    <row r="5395" s="1" customFormat="1" ht="15" x14ac:dyDescent="0.25"/>
    <row r="5396" s="1" customFormat="1" ht="15" x14ac:dyDescent="0.25"/>
    <row r="5397" s="1" customFormat="1" ht="15" x14ac:dyDescent="0.25"/>
    <row r="5398" s="1" customFormat="1" ht="15" x14ac:dyDescent="0.25"/>
    <row r="5399" s="1" customFormat="1" ht="15" x14ac:dyDescent="0.25"/>
    <row r="5400" s="1" customFormat="1" ht="15" x14ac:dyDescent="0.25"/>
    <row r="5401" s="1" customFormat="1" ht="15" x14ac:dyDescent="0.25"/>
    <row r="5402" s="1" customFormat="1" ht="15" x14ac:dyDescent="0.25"/>
    <row r="5403" s="1" customFormat="1" ht="15" x14ac:dyDescent="0.25"/>
    <row r="5404" s="1" customFormat="1" ht="15" x14ac:dyDescent="0.25"/>
    <row r="5405" s="1" customFormat="1" ht="15" x14ac:dyDescent="0.25"/>
    <row r="5406" s="1" customFormat="1" ht="15" x14ac:dyDescent="0.25"/>
    <row r="5407" s="1" customFormat="1" ht="15" x14ac:dyDescent="0.25"/>
    <row r="5408" s="1" customFormat="1" ht="15" x14ac:dyDescent="0.25"/>
    <row r="5409" s="1" customFormat="1" ht="15" x14ac:dyDescent="0.25"/>
    <row r="5410" s="1" customFormat="1" ht="15" x14ac:dyDescent="0.25"/>
    <row r="5411" s="1" customFormat="1" ht="15" x14ac:dyDescent="0.25"/>
    <row r="5412" s="1" customFormat="1" ht="15" x14ac:dyDescent="0.25"/>
    <row r="5413" s="1" customFormat="1" ht="15" x14ac:dyDescent="0.25"/>
    <row r="5414" s="1" customFormat="1" ht="15" x14ac:dyDescent="0.25"/>
    <row r="5415" s="1" customFormat="1" ht="15" x14ac:dyDescent="0.25"/>
    <row r="5416" s="1" customFormat="1" ht="15" x14ac:dyDescent="0.25"/>
    <row r="5417" s="1" customFormat="1" ht="15" x14ac:dyDescent="0.25"/>
    <row r="5418" s="1" customFormat="1" ht="15" x14ac:dyDescent="0.25"/>
    <row r="5419" s="1" customFormat="1" ht="15" x14ac:dyDescent="0.25"/>
    <row r="5420" s="1" customFormat="1" ht="15" x14ac:dyDescent="0.25"/>
    <row r="5421" s="1" customFormat="1" ht="15" x14ac:dyDescent="0.25"/>
    <row r="5422" s="1" customFormat="1" ht="15" x14ac:dyDescent="0.25"/>
    <row r="5423" s="1" customFormat="1" ht="15" x14ac:dyDescent="0.25"/>
    <row r="5424" s="1" customFormat="1" ht="15" x14ac:dyDescent="0.25"/>
    <row r="5425" s="1" customFormat="1" ht="15" x14ac:dyDescent="0.25"/>
    <row r="5426" s="1" customFormat="1" ht="15" x14ac:dyDescent="0.25"/>
    <row r="5427" s="1" customFormat="1" ht="15" x14ac:dyDescent="0.25"/>
    <row r="5428" s="1" customFormat="1" ht="15" x14ac:dyDescent="0.25"/>
    <row r="5429" s="1" customFormat="1" ht="15" x14ac:dyDescent="0.25"/>
    <row r="5430" s="1" customFormat="1" ht="15" x14ac:dyDescent="0.25"/>
    <row r="5431" s="1" customFormat="1" ht="15" x14ac:dyDescent="0.25"/>
    <row r="5432" s="1" customFormat="1" ht="15" x14ac:dyDescent="0.25"/>
    <row r="5433" s="1" customFormat="1" ht="15" x14ac:dyDescent="0.25"/>
    <row r="5434" s="1" customFormat="1" ht="15" x14ac:dyDescent="0.25"/>
    <row r="5435" s="1" customFormat="1" ht="15" x14ac:dyDescent="0.25"/>
    <row r="5436" s="1" customFormat="1" ht="15" x14ac:dyDescent="0.25"/>
    <row r="5437" s="1" customFormat="1" ht="15" x14ac:dyDescent="0.25"/>
    <row r="5438" s="1" customFormat="1" ht="15" x14ac:dyDescent="0.25"/>
    <row r="5439" s="1" customFormat="1" ht="15" x14ac:dyDescent="0.25"/>
    <row r="5440" s="1" customFormat="1" ht="15" x14ac:dyDescent="0.25"/>
    <row r="5441" s="1" customFormat="1" ht="15" x14ac:dyDescent="0.25"/>
    <row r="5442" s="1" customFormat="1" ht="15" x14ac:dyDescent="0.25"/>
    <row r="5443" s="1" customFormat="1" ht="15" x14ac:dyDescent="0.25"/>
    <row r="5444" s="1" customFormat="1" ht="15" x14ac:dyDescent="0.25"/>
    <row r="5445" s="1" customFormat="1" ht="15" x14ac:dyDescent="0.25"/>
    <row r="5446" s="1" customFormat="1" ht="15" x14ac:dyDescent="0.25"/>
    <row r="5447" s="1" customFormat="1" ht="15" x14ac:dyDescent="0.25"/>
    <row r="5448" s="1" customFormat="1" ht="15" x14ac:dyDescent="0.25"/>
    <row r="5449" s="1" customFormat="1" ht="15" x14ac:dyDescent="0.25"/>
    <row r="5450" s="1" customFormat="1" ht="15" x14ac:dyDescent="0.25"/>
    <row r="5451" s="1" customFormat="1" ht="15" x14ac:dyDescent="0.25"/>
    <row r="5452" s="1" customFormat="1" ht="15" x14ac:dyDescent="0.25"/>
    <row r="5453" s="1" customFormat="1" ht="15" x14ac:dyDescent="0.25"/>
    <row r="5454" s="1" customFormat="1" ht="15" x14ac:dyDescent="0.25"/>
    <row r="5455" s="1" customFormat="1" ht="15" x14ac:dyDescent="0.25"/>
    <row r="5456" s="1" customFormat="1" ht="15" x14ac:dyDescent="0.25"/>
    <row r="5457" s="1" customFormat="1" ht="15" x14ac:dyDescent="0.25"/>
    <row r="5458" s="1" customFormat="1" ht="15" x14ac:dyDescent="0.25"/>
    <row r="5459" s="1" customFormat="1" ht="15" x14ac:dyDescent="0.25"/>
    <row r="5460" s="1" customFormat="1" ht="15" x14ac:dyDescent="0.25"/>
    <row r="5461" s="1" customFormat="1" ht="15" x14ac:dyDescent="0.25"/>
    <row r="5462" s="1" customFormat="1" ht="15" x14ac:dyDescent="0.25"/>
    <row r="5463" s="1" customFormat="1" ht="15" x14ac:dyDescent="0.25"/>
    <row r="5464" s="1" customFormat="1" ht="15" x14ac:dyDescent="0.25"/>
    <row r="5465" s="1" customFormat="1" ht="15" x14ac:dyDescent="0.25"/>
    <row r="5466" s="1" customFormat="1" ht="15" x14ac:dyDescent="0.25"/>
    <row r="5467" s="1" customFormat="1" ht="15" x14ac:dyDescent="0.25"/>
    <row r="5468" s="1" customFormat="1" ht="15" x14ac:dyDescent="0.25"/>
    <row r="5469" s="1" customFormat="1" ht="15" x14ac:dyDescent="0.25"/>
    <row r="5470" s="1" customFormat="1" ht="15" x14ac:dyDescent="0.25"/>
    <row r="5471" s="1" customFormat="1" ht="15" x14ac:dyDescent="0.25"/>
    <row r="5472" s="1" customFormat="1" ht="15" x14ac:dyDescent="0.25"/>
    <row r="5473" s="1" customFormat="1" ht="15" x14ac:dyDescent="0.25"/>
    <row r="5474" s="1" customFormat="1" ht="15" x14ac:dyDescent="0.25"/>
    <row r="5475" s="1" customFormat="1" ht="15" x14ac:dyDescent="0.25"/>
    <row r="5476" s="1" customFormat="1" ht="15" x14ac:dyDescent="0.25"/>
    <row r="5477" s="1" customFormat="1" ht="15" x14ac:dyDescent="0.25"/>
    <row r="5478" s="1" customFormat="1" ht="15" x14ac:dyDescent="0.25"/>
    <row r="5479" s="1" customFormat="1" ht="15" x14ac:dyDescent="0.25"/>
    <row r="5480" s="1" customFormat="1" ht="15" x14ac:dyDescent="0.25"/>
    <row r="5481" s="1" customFormat="1" ht="15" x14ac:dyDescent="0.25"/>
    <row r="5482" s="1" customFormat="1" ht="15" x14ac:dyDescent="0.25"/>
    <row r="5483" s="1" customFormat="1" ht="15" x14ac:dyDescent="0.25"/>
    <row r="5484" s="1" customFormat="1" ht="15" x14ac:dyDescent="0.25"/>
    <row r="5485" s="1" customFormat="1" ht="15" x14ac:dyDescent="0.25"/>
    <row r="5486" s="1" customFormat="1" ht="15" x14ac:dyDescent="0.25"/>
    <row r="5487" s="1" customFormat="1" ht="15" x14ac:dyDescent="0.25"/>
    <row r="5488" s="1" customFormat="1" ht="15" x14ac:dyDescent="0.25"/>
    <row r="5489" s="1" customFormat="1" ht="15" x14ac:dyDescent="0.25"/>
    <row r="5490" s="1" customFormat="1" ht="15" x14ac:dyDescent="0.25"/>
    <row r="5491" s="1" customFormat="1" ht="15" x14ac:dyDescent="0.25"/>
    <row r="5492" s="1" customFormat="1" ht="15" x14ac:dyDescent="0.25"/>
    <row r="5493" s="1" customFormat="1" ht="15" x14ac:dyDescent="0.25"/>
    <row r="5494" s="1" customFormat="1" ht="15" x14ac:dyDescent="0.25"/>
    <row r="5495" s="1" customFormat="1" ht="15" x14ac:dyDescent="0.25"/>
    <row r="5496" s="1" customFormat="1" ht="15" x14ac:dyDescent="0.25"/>
    <row r="5497" s="1" customFormat="1" ht="15" x14ac:dyDescent="0.25"/>
    <row r="5498" s="1" customFormat="1" ht="15" x14ac:dyDescent="0.25"/>
    <row r="5499" s="1" customFormat="1" ht="15" x14ac:dyDescent="0.25"/>
    <row r="5500" s="1" customFormat="1" ht="15" x14ac:dyDescent="0.25"/>
    <row r="5501" s="1" customFormat="1" ht="15" x14ac:dyDescent="0.25"/>
    <row r="5502" s="1" customFormat="1" ht="15" x14ac:dyDescent="0.25"/>
    <row r="5503" s="1" customFormat="1" ht="15" x14ac:dyDescent="0.25"/>
    <row r="5504" s="1" customFormat="1" ht="15" x14ac:dyDescent="0.25"/>
    <row r="5505" s="1" customFormat="1" ht="15" x14ac:dyDescent="0.25"/>
    <row r="5506" s="1" customFormat="1" ht="15" x14ac:dyDescent="0.25"/>
    <row r="5507" s="1" customFormat="1" ht="15" x14ac:dyDescent="0.25"/>
    <row r="5508" s="1" customFormat="1" ht="15" x14ac:dyDescent="0.25"/>
    <row r="5509" s="1" customFormat="1" ht="15" x14ac:dyDescent="0.25"/>
    <row r="5510" s="1" customFormat="1" ht="15" x14ac:dyDescent="0.25"/>
    <row r="5511" s="1" customFormat="1" ht="15" x14ac:dyDescent="0.25"/>
    <row r="5512" s="1" customFormat="1" ht="15" x14ac:dyDescent="0.25"/>
    <row r="5513" s="1" customFormat="1" ht="15" x14ac:dyDescent="0.25"/>
    <row r="5514" s="1" customFormat="1" ht="15" x14ac:dyDescent="0.25"/>
    <row r="5515" s="1" customFormat="1" ht="15" x14ac:dyDescent="0.25"/>
    <row r="5516" s="1" customFormat="1" ht="15" x14ac:dyDescent="0.25"/>
    <row r="5517" s="1" customFormat="1" ht="15" x14ac:dyDescent="0.25"/>
    <row r="5518" s="1" customFormat="1" ht="15" x14ac:dyDescent="0.25"/>
    <row r="5519" s="1" customFormat="1" ht="15" x14ac:dyDescent="0.25"/>
    <row r="5520" s="1" customFormat="1" ht="15" x14ac:dyDescent="0.25"/>
    <row r="5521" s="1" customFormat="1" ht="15" x14ac:dyDescent="0.25"/>
    <row r="5522" s="1" customFormat="1" ht="15" x14ac:dyDescent="0.25"/>
    <row r="5523" s="1" customFormat="1" ht="15" x14ac:dyDescent="0.25"/>
    <row r="5524" s="1" customFormat="1" ht="15" x14ac:dyDescent="0.25"/>
    <row r="5525" s="1" customFormat="1" ht="15" x14ac:dyDescent="0.25"/>
    <row r="5526" s="1" customFormat="1" ht="15" x14ac:dyDescent="0.25"/>
    <row r="5527" s="1" customFormat="1" ht="15" x14ac:dyDescent="0.25"/>
    <row r="5528" s="1" customFormat="1" ht="15" x14ac:dyDescent="0.25"/>
    <row r="5529" s="1" customFormat="1" ht="15" x14ac:dyDescent="0.25"/>
    <row r="5530" s="1" customFormat="1" ht="15" x14ac:dyDescent="0.25"/>
    <row r="5531" s="1" customFormat="1" ht="15" x14ac:dyDescent="0.25"/>
    <row r="5532" s="1" customFormat="1" ht="15" x14ac:dyDescent="0.25"/>
    <row r="5533" s="1" customFormat="1" ht="15" x14ac:dyDescent="0.25"/>
    <row r="5534" s="1" customFormat="1" ht="15" x14ac:dyDescent="0.25"/>
    <row r="5535" s="1" customFormat="1" ht="15" x14ac:dyDescent="0.25"/>
    <row r="5536" s="1" customFormat="1" ht="15" x14ac:dyDescent="0.25"/>
    <row r="5537" s="1" customFormat="1" ht="15" x14ac:dyDescent="0.25"/>
    <row r="5538" s="1" customFormat="1" ht="15" x14ac:dyDescent="0.25"/>
    <row r="5539" s="1" customFormat="1" ht="15" x14ac:dyDescent="0.25"/>
    <row r="5540" s="1" customFormat="1" ht="15" x14ac:dyDescent="0.25"/>
    <row r="5541" s="1" customFormat="1" ht="15" x14ac:dyDescent="0.25"/>
    <row r="5542" s="1" customFormat="1" ht="15" x14ac:dyDescent="0.25"/>
    <row r="5543" s="1" customFormat="1" ht="15" x14ac:dyDescent="0.25"/>
    <row r="5544" s="1" customFormat="1" ht="15" x14ac:dyDescent="0.25"/>
    <row r="5545" s="1" customFormat="1" ht="15" x14ac:dyDescent="0.25"/>
    <row r="5546" s="1" customFormat="1" ht="15" x14ac:dyDescent="0.25"/>
    <row r="5547" s="1" customFormat="1" ht="15" x14ac:dyDescent="0.25"/>
    <row r="5548" s="1" customFormat="1" ht="15" x14ac:dyDescent="0.25"/>
    <row r="5549" s="1" customFormat="1" ht="15" x14ac:dyDescent="0.25"/>
    <row r="5550" s="1" customFormat="1" ht="15" x14ac:dyDescent="0.25"/>
    <row r="5551" s="1" customFormat="1" ht="15" x14ac:dyDescent="0.25"/>
    <row r="5552" s="1" customFormat="1" ht="15" x14ac:dyDescent="0.25"/>
    <row r="5553" s="1" customFormat="1" ht="15" x14ac:dyDescent="0.25"/>
    <row r="5554" s="1" customFormat="1" ht="15" x14ac:dyDescent="0.25"/>
    <row r="5555" s="1" customFormat="1" ht="15" x14ac:dyDescent="0.25"/>
    <row r="5556" s="1" customFormat="1" ht="15" x14ac:dyDescent="0.25"/>
    <row r="5557" s="1" customFormat="1" ht="15" x14ac:dyDescent="0.25"/>
    <row r="5558" s="1" customFormat="1" ht="15" x14ac:dyDescent="0.25"/>
    <row r="5559" s="1" customFormat="1" ht="15" x14ac:dyDescent="0.25"/>
    <row r="5560" s="1" customFormat="1" ht="15" x14ac:dyDescent="0.25"/>
    <row r="5561" s="1" customFormat="1" ht="15" x14ac:dyDescent="0.25"/>
    <row r="5562" s="1" customFormat="1" ht="15" x14ac:dyDescent="0.25"/>
    <row r="5563" s="1" customFormat="1" ht="15" x14ac:dyDescent="0.25"/>
    <row r="5564" s="1" customFormat="1" ht="15" x14ac:dyDescent="0.25"/>
    <row r="5565" s="1" customFormat="1" ht="15" x14ac:dyDescent="0.25"/>
    <row r="5566" s="1" customFormat="1" ht="15" x14ac:dyDescent="0.25"/>
    <row r="5567" s="1" customFormat="1" ht="15" x14ac:dyDescent="0.25"/>
    <row r="5568" s="1" customFormat="1" ht="15" x14ac:dyDescent="0.25"/>
    <row r="5569" s="1" customFormat="1" ht="15" x14ac:dyDescent="0.25"/>
    <row r="5570" s="1" customFormat="1" ht="15" x14ac:dyDescent="0.25"/>
    <row r="5571" s="1" customFormat="1" ht="15" x14ac:dyDescent="0.25"/>
    <row r="5572" s="1" customFormat="1" ht="15" x14ac:dyDescent="0.25"/>
    <row r="5573" s="1" customFormat="1" ht="15" x14ac:dyDescent="0.25"/>
    <row r="5574" s="1" customFormat="1" ht="15" x14ac:dyDescent="0.25"/>
    <row r="5575" s="1" customFormat="1" ht="15" x14ac:dyDescent="0.25"/>
    <row r="5576" s="1" customFormat="1" ht="15" x14ac:dyDescent="0.25"/>
    <row r="5577" s="1" customFormat="1" ht="15" x14ac:dyDescent="0.25"/>
    <row r="5578" s="1" customFormat="1" ht="15" x14ac:dyDescent="0.25"/>
    <row r="5579" s="1" customFormat="1" ht="15" x14ac:dyDescent="0.25"/>
    <row r="5580" s="1" customFormat="1" ht="15" x14ac:dyDescent="0.25"/>
    <row r="5581" s="1" customFormat="1" ht="15" x14ac:dyDescent="0.25"/>
    <row r="5582" s="1" customFormat="1" ht="15" x14ac:dyDescent="0.25"/>
    <row r="5583" s="1" customFormat="1" ht="15" x14ac:dyDescent="0.25"/>
    <row r="5584" s="1" customFormat="1" ht="15" x14ac:dyDescent="0.25"/>
    <row r="5585" s="1" customFormat="1" ht="15" x14ac:dyDescent="0.25"/>
    <row r="5586" s="1" customFormat="1" ht="15" x14ac:dyDescent="0.25"/>
    <row r="5587" s="1" customFormat="1" ht="15" x14ac:dyDescent="0.25"/>
    <row r="5588" s="1" customFormat="1" ht="15" x14ac:dyDescent="0.25"/>
    <row r="5589" s="1" customFormat="1" ht="15" x14ac:dyDescent="0.25"/>
    <row r="5590" s="1" customFormat="1" ht="15" x14ac:dyDescent="0.25"/>
    <row r="5591" s="1" customFormat="1" ht="15" x14ac:dyDescent="0.25"/>
    <row r="5592" s="1" customFormat="1" ht="15" x14ac:dyDescent="0.25"/>
    <row r="5593" s="1" customFormat="1" ht="15" x14ac:dyDescent="0.25"/>
    <row r="5594" s="1" customFormat="1" ht="15" x14ac:dyDescent="0.25"/>
    <row r="5595" s="1" customFormat="1" ht="15" x14ac:dyDescent="0.25"/>
    <row r="5596" s="1" customFormat="1" ht="15" x14ac:dyDescent="0.25"/>
    <row r="5597" s="1" customFormat="1" ht="15" x14ac:dyDescent="0.25"/>
    <row r="5598" s="1" customFormat="1" ht="15" x14ac:dyDescent="0.25"/>
    <row r="5599" s="1" customFormat="1" ht="15" x14ac:dyDescent="0.25"/>
    <row r="5600" s="1" customFormat="1" ht="15" x14ac:dyDescent="0.25"/>
    <row r="5601" s="1" customFormat="1" ht="15" x14ac:dyDescent="0.25"/>
    <row r="5602" s="1" customFormat="1" ht="15" x14ac:dyDescent="0.25"/>
    <row r="5603" s="1" customFormat="1" ht="15" x14ac:dyDescent="0.25"/>
    <row r="5604" s="1" customFormat="1" ht="15" x14ac:dyDescent="0.25"/>
    <row r="5605" s="1" customFormat="1" ht="15" x14ac:dyDescent="0.25"/>
    <row r="5606" s="1" customFormat="1" ht="15" x14ac:dyDescent="0.25"/>
    <row r="5607" s="1" customFormat="1" ht="15" x14ac:dyDescent="0.25"/>
    <row r="5608" s="1" customFormat="1" ht="15" x14ac:dyDescent="0.25"/>
    <row r="5609" s="1" customFormat="1" ht="15" x14ac:dyDescent="0.25"/>
    <row r="5610" s="1" customFormat="1" ht="15" x14ac:dyDescent="0.25"/>
    <row r="5611" s="1" customFormat="1" ht="15" x14ac:dyDescent="0.25"/>
    <row r="5612" s="1" customFormat="1" ht="15" x14ac:dyDescent="0.25"/>
    <row r="5613" s="1" customFormat="1" ht="15" x14ac:dyDescent="0.25"/>
    <row r="5614" s="1" customFormat="1" ht="15" x14ac:dyDescent="0.25"/>
    <row r="5615" s="1" customFormat="1" ht="15" x14ac:dyDescent="0.25"/>
    <row r="5616" s="1" customFormat="1" ht="15" x14ac:dyDescent="0.25"/>
    <row r="5617" s="1" customFormat="1" ht="15" x14ac:dyDescent="0.25"/>
    <row r="5618" s="1" customFormat="1" ht="15" x14ac:dyDescent="0.25"/>
    <row r="5619" s="1" customFormat="1" ht="15" x14ac:dyDescent="0.25"/>
    <row r="5620" s="1" customFormat="1" ht="15" x14ac:dyDescent="0.25"/>
    <row r="5621" s="1" customFormat="1" ht="15" x14ac:dyDescent="0.25"/>
    <row r="5622" s="1" customFormat="1" ht="15" x14ac:dyDescent="0.25"/>
    <row r="5623" s="1" customFormat="1" ht="15" x14ac:dyDescent="0.25"/>
    <row r="5624" s="1" customFormat="1" ht="15" x14ac:dyDescent="0.25"/>
    <row r="5625" s="1" customFormat="1" ht="15" x14ac:dyDescent="0.25"/>
    <row r="5626" s="1" customFormat="1" ht="15" x14ac:dyDescent="0.25"/>
    <row r="5627" s="1" customFormat="1" ht="15" x14ac:dyDescent="0.25"/>
    <row r="5628" s="1" customFormat="1" ht="15" x14ac:dyDescent="0.25"/>
    <row r="5629" s="1" customFormat="1" ht="15" x14ac:dyDescent="0.25"/>
    <row r="5630" s="1" customFormat="1" ht="15" x14ac:dyDescent="0.25"/>
    <row r="5631" s="1" customFormat="1" ht="15" x14ac:dyDescent="0.25"/>
    <row r="5632" s="1" customFormat="1" ht="15" x14ac:dyDescent="0.25"/>
    <row r="5633" s="1" customFormat="1" ht="15" x14ac:dyDescent="0.25"/>
    <row r="5634" s="1" customFormat="1" ht="15" x14ac:dyDescent="0.25"/>
    <row r="5635" s="1" customFormat="1" ht="15" x14ac:dyDescent="0.25"/>
    <row r="5636" s="1" customFormat="1" ht="15" x14ac:dyDescent="0.25"/>
    <row r="5637" s="1" customFormat="1" ht="15" x14ac:dyDescent="0.25"/>
    <row r="5638" s="1" customFormat="1" ht="15" x14ac:dyDescent="0.25"/>
    <row r="5639" s="1" customFormat="1" ht="15" x14ac:dyDescent="0.25"/>
    <row r="5640" s="1" customFormat="1" ht="15" x14ac:dyDescent="0.25"/>
    <row r="5641" s="1" customFormat="1" ht="15" x14ac:dyDescent="0.25"/>
    <row r="5642" s="1" customFormat="1" ht="15" x14ac:dyDescent="0.25"/>
    <row r="5643" s="1" customFormat="1" ht="15" x14ac:dyDescent="0.25"/>
    <row r="5644" s="1" customFormat="1" ht="15" x14ac:dyDescent="0.25"/>
    <row r="5645" s="1" customFormat="1" ht="15" x14ac:dyDescent="0.25"/>
    <row r="5646" s="1" customFormat="1" ht="15" x14ac:dyDescent="0.25"/>
    <row r="5647" s="1" customFormat="1" ht="15" x14ac:dyDescent="0.25"/>
    <row r="5648" s="1" customFormat="1" ht="15" x14ac:dyDescent="0.25"/>
    <row r="5649" s="1" customFormat="1" ht="15" x14ac:dyDescent="0.25"/>
    <row r="5650" s="1" customFormat="1" ht="15" x14ac:dyDescent="0.25"/>
    <row r="5651" s="1" customFormat="1" ht="15" x14ac:dyDescent="0.25"/>
    <row r="5652" s="1" customFormat="1" ht="15" x14ac:dyDescent="0.25"/>
    <row r="5653" s="1" customFormat="1" ht="15" x14ac:dyDescent="0.25"/>
    <row r="5654" s="1" customFormat="1" ht="15" x14ac:dyDescent="0.25"/>
    <row r="5655" s="1" customFormat="1" ht="15" x14ac:dyDescent="0.25"/>
    <row r="5656" s="1" customFormat="1" ht="15" x14ac:dyDescent="0.25"/>
    <row r="5657" s="1" customFormat="1" ht="15" x14ac:dyDescent="0.25"/>
    <row r="5658" s="1" customFormat="1" ht="15" x14ac:dyDescent="0.25"/>
    <row r="5659" s="1" customFormat="1" ht="15" x14ac:dyDescent="0.25"/>
    <row r="5660" s="1" customFormat="1" ht="15" x14ac:dyDescent="0.25"/>
    <row r="5661" s="1" customFormat="1" ht="15" x14ac:dyDescent="0.25"/>
    <row r="5662" s="1" customFormat="1" ht="15" x14ac:dyDescent="0.25"/>
    <row r="5663" s="1" customFormat="1" ht="15" x14ac:dyDescent="0.25"/>
    <row r="5664" s="1" customFormat="1" ht="15" x14ac:dyDescent="0.25"/>
    <row r="5665" s="1" customFormat="1" ht="15" x14ac:dyDescent="0.25"/>
    <row r="5666" s="1" customFormat="1" ht="15" x14ac:dyDescent="0.25"/>
    <row r="5667" s="1" customFormat="1" ht="15" x14ac:dyDescent="0.25"/>
    <row r="5668" s="1" customFormat="1" ht="15" x14ac:dyDescent="0.25"/>
    <row r="5669" s="1" customFormat="1" ht="15" x14ac:dyDescent="0.25"/>
    <row r="5670" s="1" customFormat="1" ht="15" x14ac:dyDescent="0.25"/>
    <row r="5671" s="1" customFormat="1" ht="15" x14ac:dyDescent="0.25"/>
    <row r="5672" s="1" customFormat="1" ht="15" x14ac:dyDescent="0.25"/>
    <row r="5673" s="1" customFormat="1" ht="15" x14ac:dyDescent="0.25"/>
    <row r="5674" s="1" customFormat="1" ht="15" x14ac:dyDescent="0.25"/>
    <row r="5675" s="1" customFormat="1" ht="15" x14ac:dyDescent="0.25"/>
    <row r="5676" s="1" customFormat="1" ht="15" x14ac:dyDescent="0.25"/>
    <row r="5677" s="1" customFormat="1" ht="15" x14ac:dyDescent="0.25"/>
    <row r="5678" s="1" customFormat="1" ht="15" x14ac:dyDescent="0.25"/>
    <row r="5679" s="1" customFormat="1" ht="15" x14ac:dyDescent="0.25"/>
    <row r="5680" s="1" customFormat="1" ht="15" x14ac:dyDescent="0.25"/>
    <row r="5681" s="1" customFormat="1" ht="15" x14ac:dyDescent="0.25"/>
    <row r="5682" s="1" customFormat="1" ht="15" x14ac:dyDescent="0.25"/>
    <row r="5683" s="1" customFormat="1" ht="15" x14ac:dyDescent="0.25"/>
    <row r="5684" s="1" customFormat="1" ht="15" x14ac:dyDescent="0.25"/>
    <row r="5685" s="1" customFormat="1" ht="15" x14ac:dyDescent="0.25"/>
    <row r="5686" s="1" customFormat="1" ht="15" x14ac:dyDescent="0.25"/>
    <row r="5687" s="1" customFormat="1" ht="15" x14ac:dyDescent="0.25"/>
    <row r="5688" s="1" customFormat="1" ht="15" x14ac:dyDescent="0.25"/>
    <row r="5689" s="1" customFormat="1" ht="15" x14ac:dyDescent="0.25"/>
    <row r="5690" s="1" customFormat="1" ht="15" x14ac:dyDescent="0.25"/>
    <row r="5691" s="1" customFormat="1" ht="15" x14ac:dyDescent="0.25"/>
    <row r="5692" s="1" customFormat="1" ht="15" x14ac:dyDescent="0.25"/>
    <row r="5693" s="1" customFormat="1" ht="15" x14ac:dyDescent="0.25"/>
    <row r="5694" s="1" customFormat="1" ht="15" x14ac:dyDescent="0.25"/>
    <row r="5695" s="1" customFormat="1" ht="15" x14ac:dyDescent="0.25"/>
    <row r="5696" s="1" customFormat="1" ht="15" x14ac:dyDescent="0.25"/>
    <row r="5697" s="1" customFormat="1" ht="15" x14ac:dyDescent="0.25"/>
    <row r="5698" s="1" customFormat="1" ht="15" x14ac:dyDescent="0.25"/>
    <row r="5699" s="1" customFormat="1" ht="15" x14ac:dyDescent="0.25"/>
    <row r="5700" s="1" customFormat="1" ht="15" x14ac:dyDescent="0.25"/>
    <row r="5701" s="1" customFormat="1" ht="15" x14ac:dyDescent="0.25"/>
    <row r="5702" s="1" customFormat="1" ht="15" x14ac:dyDescent="0.25"/>
    <row r="5703" s="1" customFormat="1" ht="15" x14ac:dyDescent="0.25"/>
    <row r="5704" s="1" customFormat="1" ht="15" x14ac:dyDescent="0.25"/>
    <row r="5705" s="1" customFormat="1" ht="15" x14ac:dyDescent="0.25"/>
    <row r="5706" s="1" customFormat="1" ht="15" x14ac:dyDescent="0.25"/>
    <row r="5707" s="1" customFormat="1" ht="15" x14ac:dyDescent="0.25"/>
    <row r="5708" s="1" customFormat="1" ht="15" x14ac:dyDescent="0.25"/>
    <row r="5709" s="1" customFormat="1" ht="15" x14ac:dyDescent="0.25"/>
    <row r="5710" s="1" customFormat="1" ht="15" x14ac:dyDescent="0.25"/>
    <row r="5711" s="1" customFormat="1" ht="15" x14ac:dyDescent="0.25"/>
    <row r="5712" s="1" customFormat="1" ht="15" x14ac:dyDescent="0.25"/>
    <row r="5713" s="1" customFormat="1" ht="15" x14ac:dyDescent="0.25"/>
    <row r="5714" s="1" customFormat="1" ht="15" x14ac:dyDescent="0.25"/>
    <row r="5715" s="1" customFormat="1" ht="15" x14ac:dyDescent="0.25"/>
    <row r="5716" s="1" customFormat="1" ht="15" x14ac:dyDescent="0.25"/>
    <row r="5717" s="1" customFormat="1" ht="15" x14ac:dyDescent="0.25"/>
    <row r="5718" s="1" customFormat="1" ht="15" x14ac:dyDescent="0.25"/>
    <row r="5719" s="1" customFormat="1" ht="15" x14ac:dyDescent="0.25"/>
    <row r="5720" s="1" customFormat="1" ht="15" x14ac:dyDescent="0.25"/>
    <row r="5721" s="1" customFormat="1" ht="15" x14ac:dyDescent="0.25"/>
    <row r="5722" s="1" customFormat="1" ht="15" x14ac:dyDescent="0.25"/>
    <row r="5723" s="1" customFormat="1" ht="15" x14ac:dyDescent="0.25"/>
    <row r="5724" s="1" customFormat="1" ht="15" x14ac:dyDescent="0.25"/>
    <row r="5725" s="1" customFormat="1" ht="15" x14ac:dyDescent="0.25"/>
    <row r="5726" s="1" customFormat="1" ht="15" x14ac:dyDescent="0.25"/>
    <row r="5727" s="1" customFormat="1" ht="15" x14ac:dyDescent="0.25"/>
    <row r="5728" s="1" customFormat="1" ht="15" x14ac:dyDescent="0.25"/>
    <row r="5729" s="1" customFormat="1" ht="15" x14ac:dyDescent="0.25"/>
    <row r="5730" s="1" customFormat="1" ht="15" x14ac:dyDescent="0.25"/>
    <row r="5731" s="1" customFormat="1" ht="15" x14ac:dyDescent="0.25"/>
    <row r="5732" s="1" customFormat="1" ht="15" x14ac:dyDescent="0.25"/>
    <row r="5733" s="1" customFormat="1" ht="15" x14ac:dyDescent="0.25"/>
    <row r="5734" s="1" customFormat="1" ht="15" x14ac:dyDescent="0.25"/>
    <row r="5735" s="1" customFormat="1" ht="15" x14ac:dyDescent="0.25"/>
    <row r="5736" s="1" customFormat="1" ht="15" x14ac:dyDescent="0.25"/>
    <row r="5737" s="1" customFormat="1" ht="15" x14ac:dyDescent="0.25"/>
    <row r="5738" s="1" customFormat="1" ht="15" x14ac:dyDescent="0.25"/>
    <row r="5739" s="1" customFormat="1" ht="15" x14ac:dyDescent="0.25"/>
    <row r="5740" s="1" customFormat="1" ht="15" x14ac:dyDescent="0.25"/>
    <row r="5741" s="1" customFormat="1" ht="15" x14ac:dyDescent="0.25"/>
    <row r="5742" s="1" customFormat="1" ht="15" x14ac:dyDescent="0.25"/>
    <row r="5743" s="1" customFormat="1" ht="15" x14ac:dyDescent="0.25"/>
    <row r="5744" s="1" customFormat="1" ht="15" x14ac:dyDescent="0.25"/>
    <row r="5745" s="1" customFormat="1" ht="15" x14ac:dyDescent="0.25"/>
    <row r="5746" s="1" customFormat="1" ht="15" x14ac:dyDescent="0.25"/>
    <row r="5747" s="1" customFormat="1" ht="15" x14ac:dyDescent="0.25"/>
    <row r="5748" s="1" customFormat="1" ht="15" x14ac:dyDescent="0.25"/>
    <row r="5749" s="1" customFormat="1" ht="15" x14ac:dyDescent="0.25"/>
    <row r="5750" s="1" customFormat="1" ht="15" x14ac:dyDescent="0.25"/>
    <row r="5751" s="1" customFormat="1" ht="15" x14ac:dyDescent="0.25"/>
    <row r="5752" s="1" customFormat="1" ht="15" x14ac:dyDescent="0.25"/>
    <row r="5753" s="1" customFormat="1" ht="15" x14ac:dyDescent="0.25"/>
    <row r="5754" s="1" customFormat="1" ht="15" x14ac:dyDescent="0.25"/>
    <row r="5755" s="1" customFormat="1" ht="15" x14ac:dyDescent="0.25"/>
    <row r="5756" s="1" customFormat="1" ht="15" x14ac:dyDescent="0.25"/>
    <row r="5757" s="1" customFormat="1" ht="15" x14ac:dyDescent="0.25"/>
    <row r="5758" s="1" customFormat="1" ht="15" x14ac:dyDescent="0.25"/>
    <row r="5759" s="1" customFormat="1" ht="15" x14ac:dyDescent="0.25"/>
    <row r="5760" s="1" customFormat="1" ht="15" x14ac:dyDescent="0.25"/>
    <row r="5761" s="1" customFormat="1" ht="15" x14ac:dyDescent="0.25"/>
    <row r="5762" s="1" customFormat="1" ht="15" x14ac:dyDescent="0.25"/>
    <row r="5763" s="1" customFormat="1" ht="15" x14ac:dyDescent="0.25"/>
    <row r="5764" s="1" customFormat="1" ht="15" x14ac:dyDescent="0.25"/>
    <row r="5765" s="1" customFormat="1" ht="15" x14ac:dyDescent="0.25"/>
    <row r="5766" s="1" customFormat="1" ht="15" x14ac:dyDescent="0.25"/>
    <row r="5767" s="1" customFormat="1" ht="15" x14ac:dyDescent="0.25"/>
    <row r="5768" s="1" customFormat="1" ht="15" x14ac:dyDescent="0.25"/>
    <row r="5769" s="1" customFormat="1" ht="15" x14ac:dyDescent="0.25"/>
    <row r="5770" s="1" customFormat="1" ht="15" x14ac:dyDescent="0.25"/>
    <row r="5771" s="1" customFormat="1" ht="15" x14ac:dyDescent="0.25"/>
    <row r="5772" s="1" customFormat="1" ht="15" x14ac:dyDescent="0.25"/>
    <row r="5773" s="1" customFormat="1" ht="15" x14ac:dyDescent="0.25"/>
    <row r="5774" s="1" customFormat="1" ht="15" x14ac:dyDescent="0.25"/>
    <row r="5775" s="1" customFormat="1" ht="15" x14ac:dyDescent="0.25"/>
    <row r="5776" s="1" customFormat="1" ht="15" x14ac:dyDescent="0.25"/>
    <row r="5777" s="1" customFormat="1" ht="15" x14ac:dyDescent="0.25"/>
    <row r="5778" s="1" customFormat="1" ht="15" x14ac:dyDescent="0.25"/>
    <row r="5779" s="1" customFormat="1" ht="15" x14ac:dyDescent="0.25"/>
    <row r="5780" s="1" customFormat="1" ht="15" x14ac:dyDescent="0.25"/>
    <row r="5781" s="1" customFormat="1" ht="15" x14ac:dyDescent="0.25"/>
    <row r="5782" s="1" customFormat="1" ht="15" x14ac:dyDescent="0.25"/>
    <row r="5783" s="1" customFormat="1" ht="15" x14ac:dyDescent="0.25"/>
    <row r="5784" s="1" customFormat="1" ht="15" x14ac:dyDescent="0.25"/>
    <row r="5785" s="1" customFormat="1" ht="15" x14ac:dyDescent="0.25"/>
    <row r="5786" s="1" customFormat="1" ht="15" x14ac:dyDescent="0.25"/>
    <row r="5787" s="1" customFormat="1" ht="15" x14ac:dyDescent="0.25"/>
    <row r="5788" s="1" customFormat="1" ht="15" x14ac:dyDescent="0.25"/>
    <row r="5789" s="1" customFormat="1" ht="15" x14ac:dyDescent="0.25"/>
    <row r="5790" s="1" customFormat="1" ht="15" x14ac:dyDescent="0.25"/>
    <row r="5791" s="1" customFormat="1" ht="15" x14ac:dyDescent="0.25"/>
    <row r="5792" s="1" customFormat="1" ht="15" x14ac:dyDescent="0.25"/>
    <row r="5793" s="1" customFormat="1" ht="15" x14ac:dyDescent="0.25"/>
    <row r="5794" s="1" customFormat="1" ht="15" x14ac:dyDescent="0.25"/>
    <row r="5795" s="1" customFormat="1" ht="15" x14ac:dyDescent="0.25"/>
    <row r="5796" s="1" customFormat="1" ht="15" x14ac:dyDescent="0.25"/>
    <row r="5797" s="1" customFormat="1" ht="15" x14ac:dyDescent="0.25"/>
    <row r="5798" s="1" customFormat="1" ht="15" x14ac:dyDescent="0.25"/>
    <row r="5799" s="1" customFormat="1" ht="15" x14ac:dyDescent="0.25"/>
    <row r="5800" s="1" customFormat="1" ht="15" x14ac:dyDescent="0.25"/>
    <row r="5801" s="1" customFormat="1" ht="15" x14ac:dyDescent="0.25"/>
    <row r="5802" s="1" customFormat="1" ht="15" x14ac:dyDescent="0.25"/>
    <row r="5803" s="1" customFormat="1" ht="15" x14ac:dyDescent="0.25"/>
    <row r="5804" s="1" customFormat="1" ht="15" x14ac:dyDescent="0.25"/>
    <row r="5805" s="1" customFormat="1" ht="15" x14ac:dyDescent="0.25"/>
    <row r="5806" s="1" customFormat="1" ht="15" x14ac:dyDescent="0.25"/>
    <row r="5807" s="1" customFormat="1" ht="15" x14ac:dyDescent="0.25"/>
    <row r="5808" s="1" customFormat="1" ht="15" x14ac:dyDescent="0.25"/>
    <row r="5809" s="1" customFormat="1" ht="15" x14ac:dyDescent="0.25"/>
    <row r="5810" s="1" customFormat="1" ht="15" x14ac:dyDescent="0.25"/>
    <row r="5811" s="1" customFormat="1" ht="15" x14ac:dyDescent="0.25"/>
    <row r="5812" s="1" customFormat="1" ht="15" x14ac:dyDescent="0.25"/>
    <row r="5813" s="1" customFormat="1" ht="15" x14ac:dyDescent="0.25"/>
    <row r="5814" s="1" customFormat="1" ht="15" x14ac:dyDescent="0.25"/>
    <row r="5815" s="1" customFormat="1" ht="15" x14ac:dyDescent="0.25"/>
    <row r="5816" s="1" customFormat="1" ht="15" x14ac:dyDescent="0.25"/>
    <row r="5817" s="1" customFormat="1" ht="15" x14ac:dyDescent="0.25"/>
    <row r="5818" s="1" customFormat="1" ht="15" x14ac:dyDescent="0.25"/>
    <row r="5819" s="1" customFormat="1" ht="15" x14ac:dyDescent="0.25"/>
    <row r="5820" s="1" customFormat="1" ht="15" x14ac:dyDescent="0.25"/>
    <row r="5821" s="1" customFormat="1" ht="15" x14ac:dyDescent="0.25"/>
    <row r="5822" s="1" customFormat="1" ht="15" x14ac:dyDescent="0.25"/>
    <row r="5823" s="1" customFormat="1" ht="15" x14ac:dyDescent="0.25"/>
    <row r="5824" s="1" customFormat="1" ht="15" x14ac:dyDescent="0.25"/>
    <row r="5825" s="1" customFormat="1" ht="15" x14ac:dyDescent="0.25"/>
    <row r="5826" s="1" customFormat="1" ht="15" x14ac:dyDescent="0.25"/>
    <row r="5827" s="1" customFormat="1" ht="15" x14ac:dyDescent="0.25"/>
    <row r="5828" s="1" customFormat="1" ht="15" x14ac:dyDescent="0.25"/>
    <row r="5829" s="1" customFormat="1" ht="15" x14ac:dyDescent="0.25"/>
    <row r="5830" s="1" customFormat="1" ht="15" x14ac:dyDescent="0.25"/>
    <row r="5831" s="1" customFormat="1" ht="15" x14ac:dyDescent="0.25"/>
    <row r="5832" s="1" customFormat="1" ht="15" x14ac:dyDescent="0.25"/>
    <row r="5833" s="1" customFormat="1" ht="15" x14ac:dyDescent="0.25"/>
    <row r="5834" s="1" customFormat="1" ht="15" x14ac:dyDescent="0.25"/>
    <row r="5835" s="1" customFormat="1" ht="15" x14ac:dyDescent="0.25"/>
    <row r="5836" s="1" customFormat="1" ht="15" x14ac:dyDescent="0.25"/>
    <row r="5837" s="1" customFormat="1" ht="15" x14ac:dyDescent="0.25"/>
    <row r="5838" s="1" customFormat="1" ht="15" x14ac:dyDescent="0.25"/>
    <row r="5839" s="1" customFormat="1" ht="15" x14ac:dyDescent="0.25"/>
    <row r="5840" s="1" customFormat="1" ht="15" x14ac:dyDescent="0.25"/>
    <row r="5841" s="1" customFormat="1" ht="15" x14ac:dyDescent="0.25"/>
    <row r="5842" s="1" customFormat="1" ht="15" x14ac:dyDescent="0.25"/>
    <row r="5843" s="1" customFormat="1" ht="15" x14ac:dyDescent="0.25"/>
    <row r="5844" s="1" customFormat="1" ht="15" x14ac:dyDescent="0.25"/>
    <row r="5845" s="1" customFormat="1" ht="15" x14ac:dyDescent="0.25"/>
    <row r="5846" s="1" customFormat="1" ht="15" x14ac:dyDescent="0.25"/>
    <row r="5847" s="1" customFormat="1" ht="15" x14ac:dyDescent="0.25"/>
    <row r="5848" s="1" customFormat="1" ht="15" x14ac:dyDescent="0.25"/>
    <row r="5849" s="1" customFormat="1" ht="15" x14ac:dyDescent="0.25"/>
    <row r="5850" s="1" customFormat="1" ht="15" x14ac:dyDescent="0.25"/>
    <row r="5851" s="1" customFormat="1" ht="15" x14ac:dyDescent="0.25"/>
    <row r="5852" s="1" customFormat="1" ht="15" x14ac:dyDescent="0.25"/>
    <row r="5853" s="1" customFormat="1" ht="15" x14ac:dyDescent="0.25"/>
    <row r="5854" s="1" customFormat="1" ht="15" x14ac:dyDescent="0.25"/>
    <row r="5855" s="1" customFormat="1" ht="15" x14ac:dyDescent="0.25"/>
    <row r="5856" s="1" customFormat="1" ht="15" x14ac:dyDescent="0.25"/>
    <row r="5857" s="1" customFormat="1" ht="15" x14ac:dyDescent="0.25"/>
    <row r="5858" s="1" customFormat="1" ht="15" x14ac:dyDescent="0.25"/>
    <row r="5859" s="1" customFormat="1" ht="15" x14ac:dyDescent="0.25"/>
    <row r="5860" s="1" customFormat="1" ht="15" x14ac:dyDescent="0.25"/>
    <row r="5861" s="1" customFormat="1" ht="15" x14ac:dyDescent="0.25"/>
    <row r="5862" s="1" customFormat="1" ht="15" x14ac:dyDescent="0.25"/>
    <row r="5863" s="1" customFormat="1" ht="15" x14ac:dyDescent="0.25"/>
    <row r="5864" s="1" customFormat="1" ht="15" x14ac:dyDescent="0.25"/>
    <row r="5865" s="1" customFormat="1" ht="15" x14ac:dyDescent="0.25"/>
    <row r="5866" s="1" customFormat="1" ht="15" x14ac:dyDescent="0.25"/>
    <row r="5867" s="1" customFormat="1" ht="15" x14ac:dyDescent="0.25"/>
    <row r="5868" s="1" customFormat="1" ht="15" x14ac:dyDescent="0.25"/>
    <row r="5869" s="1" customFormat="1" ht="15" x14ac:dyDescent="0.25"/>
    <row r="5870" s="1" customFormat="1" ht="15" x14ac:dyDescent="0.25"/>
    <row r="5871" s="1" customFormat="1" ht="15" x14ac:dyDescent="0.25"/>
    <row r="5872" s="1" customFormat="1" ht="15" x14ac:dyDescent="0.25"/>
    <row r="5873" s="1" customFormat="1" ht="15" x14ac:dyDescent="0.25"/>
    <row r="5874" s="1" customFormat="1" ht="15" x14ac:dyDescent="0.25"/>
    <row r="5875" s="1" customFormat="1" ht="15" x14ac:dyDescent="0.25"/>
    <row r="5876" s="1" customFormat="1" ht="15" x14ac:dyDescent="0.25"/>
    <row r="5877" s="1" customFormat="1" ht="15" x14ac:dyDescent="0.25"/>
    <row r="5878" s="1" customFormat="1" ht="15" x14ac:dyDescent="0.25"/>
    <row r="5879" s="1" customFormat="1" ht="15" x14ac:dyDescent="0.25"/>
    <row r="5880" s="1" customFormat="1" ht="15" x14ac:dyDescent="0.25"/>
    <row r="5881" s="1" customFormat="1" ht="15" x14ac:dyDescent="0.25"/>
    <row r="5882" s="1" customFormat="1" ht="15" x14ac:dyDescent="0.25"/>
    <row r="5883" s="1" customFormat="1" ht="15" x14ac:dyDescent="0.25"/>
    <row r="5884" s="1" customFormat="1" ht="15" x14ac:dyDescent="0.25"/>
    <row r="5885" s="1" customFormat="1" ht="15" x14ac:dyDescent="0.25"/>
    <row r="5886" s="1" customFormat="1" ht="15" x14ac:dyDescent="0.25"/>
    <row r="5887" s="1" customFormat="1" ht="15" x14ac:dyDescent="0.25"/>
    <row r="5888" s="1" customFormat="1" ht="15" x14ac:dyDescent="0.25"/>
    <row r="5889" s="1" customFormat="1" ht="15" x14ac:dyDescent="0.25"/>
    <row r="5890" s="1" customFormat="1" ht="15" x14ac:dyDescent="0.25"/>
    <row r="5891" s="1" customFormat="1" ht="15" x14ac:dyDescent="0.25"/>
    <row r="5892" s="1" customFormat="1" ht="15" x14ac:dyDescent="0.25"/>
    <row r="5893" s="1" customFormat="1" ht="15" x14ac:dyDescent="0.25"/>
    <row r="5894" s="1" customFormat="1" ht="15" x14ac:dyDescent="0.25"/>
    <row r="5895" s="1" customFormat="1" ht="15" x14ac:dyDescent="0.25"/>
    <row r="5896" s="1" customFormat="1" ht="15" x14ac:dyDescent="0.25"/>
    <row r="5897" s="1" customFormat="1" ht="15" x14ac:dyDescent="0.25"/>
    <row r="5898" s="1" customFormat="1" ht="15" x14ac:dyDescent="0.25"/>
    <row r="5899" s="1" customFormat="1" ht="15" x14ac:dyDescent="0.25"/>
    <row r="5900" s="1" customFormat="1" ht="15" x14ac:dyDescent="0.25"/>
    <row r="5901" s="1" customFormat="1" ht="15" x14ac:dyDescent="0.25"/>
    <row r="5902" s="1" customFormat="1" ht="15" x14ac:dyDescent="0.25"/>
    <row r="5903" s="1" customFormat="1" ht="15" x14ac:dyDescent="0.25"/>
    <row r="5904" s="1" customFormat="1" ht="15" x14ac:dyDescent="0.25"/>
    <row r="5905" s="1" customFormat="1" ht="15" x14ac:dyDescent="0.25"/>
    <row r="5906" s="1" customFormat="1" ht="15" x14ac:dyDescent="0.25"/>
    <row r="5907" s="1" customFormat="1" ht="15" x14ac:dyDescent="0.25"/>
    <row r="5908" s="1" customFormat="1" ht="15" x14ac:dyDescent="0.25"/>
    <row r="5909" s="1" customFormat="1" ht="15" x14ac:dyDescent="0.25"/>
    <row r="5910" s="1" customFormat="1" ht="15" x14ac:dyDescent="0.25"/>
    <row r="5911" s="1" customFormat="1" ht="15" x14ac:dyDescent="0.25"/>
    <row r="5912" s="1" customFormat="1" ht="15" x14ac:dyDescent="0.25"/>
    <row r="5913" s="1" customFormat="1" ht="15" x14ac:dyDescent="0.25"/>
    <row r="5914" s="1" customFormat="1" ht="15" x14ac:dyDescent="0.25"/>
    <row r="5915" s="1" customFormat="1" ht="15" x14ac:dyDescent="0.25"/>
    <row r="5916" s="1" customFormat="1" ht="15" x14ac:dyDescent="0.25"/>
    <row r="5917" s="1" customFormat="1" ht="15" x14ac:dyDescent="0.25"/>
    <row r="5918" s="1" customFormat="1" ht="15" x14ac:dyDescent="0.25"/>
    <row r="5919" s="1" customFormat="1" ht="15" x14ac:dyDescent="0.25"/>
    <row r="5920" s="1" customFormat="1" ht="15" x14ac:dyDescent="0.25"/>
    <row r="5921" s="1" customFormat="1" ht="15" x14ac:dyDescent="0.25"/>
    <row r="5922" s="1" customFormat="1" ht="15" x14ac:dyDescent="0.25"/>
    <row r="5923" s="1" customFormat="1" ht="15" x14ac:dyDescent="0.25"/>
    <row r="5924" s="1" customFormat="1" ht="15" x14ac:dyDescent="0.25"/>
    <row r="5925" s="1" customFormat="1" ht="15" x14ac:dyDescent="0.25"/>
    <row r="5926" s="1" customFormat="1" ht="15" x14ac:dyDescent="0.25"/>
    <row r="5927" s="1" customFormat="1" ht="15" x14ac:dyDescent="0.25"/>
    <row r="5928" s="1" customFormat="1" ht="15" x14ac:dyDescent="0.25"/>
    <row r="5929" s="1" customFormat="1" ht="15" x14ac:dyDescent="0.25"/>
    <row r="5930" s="1" customFormat="1" ht="15" x14ac:dyDescent="0.25"/>
    <row r="5931" s="1" customFormat="1" ht="15" x14ac:dyDescent="0.25"/>
    <row r="5932" s="1" customFormat="1" ht="15" x14ac:dyDescent="0.25"/>
    <row r="5933" s="1" customFormat="1" ht="15" x14ac:dyDescent="0.25"/>
    <row r="5934" s="1" customFormat="1" ht="15" x14ac:dyDescent="0.25"/>
    <row r="5935" s="1" customFormat="1" ht="15" x14ac:dyDescent="0.25"/>
    <row r="5936" s="1" customFormat="1" ht="15" x14ac:dyDescent="0.25"/>
    <row r="5937" s="1" customFormat="1" ht="15" x14ac:dyDescent="0.25"/>
    <row r="5938" s="1" customFormat="1" ht="15" x14ac:dyDescent="0.25"/>
    <row r="5939" s="1" customFormat="1" ht="15" x14ac:dyDescent="0.25"/>
    <row r="5940" s="1" customFormat="1" ht="15" x14ac:dyDescent="0.25"/>
    <row r="5941" s="1" customFormat="1" ht="15" x14ac:dyDescent="0.25"/>
    <row r="5942" s="1" customFormat="1" ht="15" x14ac:dyDescent="0.25"/>
    <row r="5943" s="1" customFormat="1" ht="15" x14ac:dyDescent="0.25"/>
    <row r="5944" s="1" customFormat="1" ht="15" x14ac:dyDescent="0.25"/>
    <row r="5945" s="1" customFormat="1" ht="15" x14ac:dyDescent="0.25"/>
    <row r="5946" s="1" customFormat="1" ht="15" x14ac:dyDescent="0.25"/>
    <row r="5947" s="1" customFormat="1" ht="15" x14ac:dyDescent="0.25"/>
    <row r="5948" s="1" customFormat="1" ht="15" x14ac:dyDescent="0.25"/>
    <row r="5949" s="1" customFormat="1" ht="15" x14ac:dyDescent="0.25"/>
    <row r="5950" s="1" customFormat="1" ht="15" x14ac:dyDescent="0.25"/>
    <row r="5951" s="1" customFormat="1" ht="15" x14ac:dyDescent="0.25"/>
    <row r="5952" s="1" customFormat="1" ht="15" x14ac:dyDescent="0.25"/>
    <row r="5953" s="1" customFormat="1" ht="15" x14ac:dyDescent="0.25"/>
    <row r="5954" s="1" customFormat="1" ht="15" x14ac:dyDescent="0.25"/>
    <row r="5955" s="1" customFormat="1" ht="15" x14ac:dyDescent="0.25"/>
    <row r="5956" s="1" customFormat="1" ht="15" x14ac:dyDescent="0.25"/>
    <row r="5957" s="1" customFormat="1" ht="15" x14ac:dyDescent="0.25"/>
    <row r="5958" s="1" customFormat="1" ht="15" x14ac:dyDescent="0.25"/>
    <row r="5959" s="1" customFormat="1" ht="15" x14ac:dyDescent="0.25"/>
    <row r="5960" s="1" customFormat="1" ht="15" x14ac:dyDescent="0.25"/>
    <row r="5961" s="1" customFormat="1" ht="15" x14ac:dyDescent="0.25"/>
    <row r="5962" s="1" customFormat="1" ht="15" x14ac:dyDescent="0.25"/>
    <row r="5963" s="1" customFormat="1" ht="15" x14ac:dyDescent="0.25"/>
    <row r="5964" s="1" customFormat="1" ht="15" x14ac:dyDescent="0.25"/>
    <row r="5965" s="1" customFormat="1" ht="15" x14ac:dyDescent="0.25"/>
    <row r="5966" s="1" customFormat="1" ht="15" x14ac:dyDescent="0.25"/>
    <row r="5967" s="1" customFormat="1" ht="15" x14ac:dyDescent="0.25"/>
    <row r="5968" s="1" customFormat="1" ht="15" x14ac:dyDescent="0.25"/>
    <row r="5969" s="1" customFormat="1" ht="15" x14ac:dyDescent="0.25"/>
    <row r="5970" s="1" customFormat="1" ht="15" x14ac:dyDescent="0.25"/>
    <row r="5971" s="1" customFormat="1" ht="15" x14ac:dyDescent="0.25"/>
    <row r="5972" s="1" customFormat="1" ht="15" x14ac:dyDescent="0.25"/>
    <row r="5973" s="1" customFormat="1" ht="15" x14ac:dyDescent="0.25"/>
    <row r="5974" s="1" customFormat="1" ht="15" x14ac:dyDescent="0.25"/>
    <row r="5975" s="1" customFormat="1" ht="15" x14ac:dyDescent="0.25"/>
    <row r="5976" s="1" customFormat="1" ht="15" x14ac:dyDescent="0.25"/>
    <row r="5977" s="1" customFormat="1" ht="15" x14ac:dyDescent="0.25"/>
    <row r="5978" s="1" customFormat="1" ht="15" x14ac:dyDescent="0.25"/>
    <row r="5979" s="1" customFormat="1" ht="15" x14ac:dyDescent="0.25"/>
    <row r="5980" s="1" customFormat="1" ht="15" x14ac:dyDescent="0.25"/>
    <row r="5981" s="1" customFormat="1" ht="15" x14ac:dyDescent="0.25"/>
    <row r="5982" s="1" customFormat="1" ht="15" x14ac:dyDescent="0.25"/>
    <row r="5983" s="1" customFormat="1" ht="15" x14ac:dyDescent="0.25"/>
    <row r="5984" s="1" customFormat="1" ht="15" x14ac:dyDescent="0.25"/>
    <row r="5985" s="1" customFormat="1" ht="15" x14ac:dyDescent="0.25"/>
    <row r="5986" s="1" customFormat="1" ht="15" x14ac:dyDescent="0.25"/>
    <row r="5987" s="1" customFormat="1" ht="15" x14ac:dyDescent="0.25"/>
    <row r="5988" s="1" customFormat="1" ht="15" x14ac:dyDescent="0.25"/>
    <row r="5989" s="1" customFormat="1" ht="15" x14ac:dyDescent="0.25"/>
    <row r="5990" s="1" customFormat="1" ht="15" x14ac:dyDescent="0.25"/>
    <row r="5991" s="1" customFormat="1" ht="15" x14ac:dyDescent="0.25"/>
    <row r="5992" s="1" customFormat="1" ht="15" x14ac:dyDescent="0.25"/>
    <row r="5993" s="1" customFormat="1" ht="15" x14ac:dyDescent="0.25"/>
    <row r="5994" s="1" customFormat="1" ht="15" x14ac:dyDescent="0.25"/>
    <row r="5995" s="1" customFormat="1" ht="15" x14ac:dyDescent="0.25"/>
    <row r="5996" s="1" customFormat="1" ht="15" x14ac:dyDescent="0.25"/>
    <row r="5997" s="1" customFormat="1" ht="15" x14ac:dyDescent="0.25"/>
    <row r="5998" s="1" customFormat="1" ht="15" x14ac:dyDescent="0.25"/>
    <row r="5999" s="1" customFormat="1" ht="15" x14ac:dyDescent="0.25"/>
    <row r="6000" s="1" customFormat="1" ht="15" x14ac:dyDescent="0.25"/>
    <row r="6001" s="1" customFormat="1" ht="15" x14ac:dyDescent="0.25"/>
    <row r="6002" s="1" customFormat="1" ht="15" x14ac:dyDescent="0.25"/>
    <row r="6003" s="1" customFormat="1" ht="15" x14ac:dyDescent="0.25"/>
    <row r="6004" s="1" customFormat="1" ht="15" x14ac:dyDescent="0.25"/>
    <row r="6005" s="1" customFormat="1" ht="15" x14ac:dyDescent="0.25"/>
    <row r="6006" s="1" customFormat="1" ht="15" x14ac:dyDescent="0.25"/>
    <row r="6007" s="1" customFormat="1" ht="15" x14ac:dyDescent="0.25"/>
    <row r="6008" s="1" customFormat="1" ht="15" x14ac:dyDescent="0.25"/>
    <row r="6009" s="1" customFormat="1" ht="15" x14ac:dyDescent="0.25"/>
    <row r="6010" s="1" customFormat="1" ht="15" x14ac:dyDescent="0.25"/>
    <row r="6011" s="1" customFormat="1" ht="15" x14ac:dyDescent="0.25"/>
    <row r="6012" s="1" customFormat="1" ht="15" x14ac:dyDescent="0.25"/>
    <row r="6013" s="1" customFormat="1" ht="15" x14ac:dyDescent="0.25"/>
    <row r="6014" s="1" customFormat="1" ht="15" x14ac:dyDescent="0.25"/>
    <row r="6015" s="1" customFormat="1" ht="15" x14ac:dyDescent="0.25"/>
    <row r="6016" s="1" customFormat="1" ht="15" x14ac:dyDescent="0.25"/>
    <row r="6017" s="1" customFormat="1" ht="15" x14ac:dyDescent="0.25"/>
    <row r="6018" s="1" customFormat="1" ht="15" x14ac:dyDescent="0.25"/>
    <row r="6019" s="1" customFormat="1" ht="15" x14ac:dyDescent="0.25"/>
    <row r="6020" s="1" customFormat="1" ht="15" x14ac:dyDescent="0.25"/>
    <row r="6021" s="1" customFormat="1" ht="15" x14ac:dyDescent="0.25"/>
    <row r="6022" s="1" customFormat="1" ht="15" x14ac:dyDescent="0.25"/>
    <row r="6023" s="1" customFormat="1" ht="15" x14ac:dyDescent="0.25"/>
    <row r="6024" s="1" customFormat="1" ht="15" x14ac:dyDescent="0.25"/>
    <row r="6025" s="1" customFormat="1" ht="15" x14ac:dyDescent="0.25"/>
    <row r="6026" s="1" customFormat="1" ht="15" x14ac:dyDescent="0.25"/>
    <row r="6027" s="1" customFormat="1" ht="15" x14ac:dyDescent="0.25"/>
    <row r="6028" s="1" customFormat="1" ht="15" x14ac:dyDescent="0.25"/>
    <row r="6029" s="1" customFormat="1" ht="15" x14ac:dyDescent="0.25"/>
    <row r="6030" s="1" customFormat="1" ht="15" x14ac:dyDescent="0.25"/>
    <row r="6031" s="1" customFormat="1" ht="15" x14ac:dyDescent="0.25"/>
    <row r="6032" s="1" customFormat="1" ht="15" x14ac:dyDescent="0.25"/>
    <row r="6033" s="1" customFormat="1" ht="15" x14ac:dyDescent="0.25"/>
    <row r="6034" s="1" customFormat="1" ht="15" x14ac:dyDescent="0.25"/>
    <row r="6035" s="1" customFormat="1" ht="15" x14ac:dyDescent="0.25"/>
    <row r="6036" s="1" customFormat="1" ht="15" x14ac:dyDescent="0.25"/>
    <row r="6037" s="1" customFormat="1" ht="15" x14ac:dyDescent="0.25"/>
    <row r="6038" s="1" customFormat="1" ht="15" x14ac:dyDescent="0.25"/>
    <row r="6039" s="1" customFormat="1" ht="15" x14ac:dyDescent="0.25"/>
    <row r="6040" s="1" customFormat="1" ht="15" x14ac:dyDescent="0.25"/>
    <row r="6041" s="1" customFormat="1" ht="15" x14ac:dyDescent="0.25"/>
    <row r="6042" s="1" customFormat="1" ht="15" x14ac:dyDescent="0.25"/>
    <row r="6043" s="1" customFormat="1" ht="15" x14ac:dyDescent="0.25"/>
    <row r="6044" s="1" customFormat="1" ht="15" x14ac:dyDescent="0.25"/>
    <row r="6045" s="1" customFormat="1" ht="15" x14ac:dyDescent="0.25"/>
    <row r="6046" s="1" customFormat="1" ht="15" x14ac:dyDescent="0.25"/>
    <row r="6047" s="1" customFormat="1" ht="15" x14ac:dyDescent="0.25"/>
    <row r="6048" s="1" customFormat="1" ht="15" x14ac:dyDescent="0.25"/>
    <row r="6049" s="1" customFormat="1" ht="15" x14ac:dyDescent="0.25"/>
    <row r="6050" s="1" customFormat="1" ht="15" x14ac:dyDescent="0.25"/>
    <row r="6051" s="1" customFormat="1" ht="15" x14ac:dyDescent="0.25"/>
    <row r="6052" s="1" customFormat="1" ht="15" x14ac:dyDescent="0.25"/>
    <row r="6053" s="1" customFormat="1" ht="15" x14ac:dyDescent="0.25"/>
    <row r="6054" s="1" customFormat="1" ht="15" x14ac:dyDescent="0.25"/>
    <row r="6055" s="1" customFormat="1" ht="15" x14ac:dyDescent="0.25"/>
    <row r="6056" s="1" customFormat="1" ht="15" x14ac:dyDescent="0.25"/>
    <row r="6057" s="1" customFormat="1" ht="15" x14ac:dyDescent="0.25"/>
    <row r="6058" s="1" customFormat="1" ht="15" x14ac:dyDescent="0.25"/>
    <row r="6059" s="1" customFormat="1" ht="15" x14ac:dyDescent="0.25"/>
    <row r="6060" s="1" customFormat="1" ht="15" x14ac:dyDescent="0.25"/>
    <row r="6061" s="1" customFormat="1" ht="15" x14ac:dyDescent="0.25"/>
    <row r="6062" s="1" customFormat="1" ht="15" x14ac:dyDescent="0.25"/>
    <row r="6063" s="1" customFormat="1" ht="15" x14ac:dyDescent="0.25"/>
    <row r="6064" s="1" customFormat="1" ht="15" x14ac:dyDescent="0.25"/>
    <row r="6065" s="1" customFormat="1" ht="15" x14ac:dyDescent="0.25"/>
    <row r="6066" s="1" customFormat="1" ht="15" x14ac:dyDescent="0.25"/>
    <row r="6067" s="1" customFormat="1" ht="15" x14ac:dyDescent="0.25"/>
    <row r="6068" s="1" customFormat="1" ht="15" x14ac:dyDescent="0.25"/>
    <row r="6069" s="1" customFormat="1" ht="15" x14ac:dyDescent="0.25"/>
    <row r="6070" s="1" customFormat="1" ht="15" x14ac:dyDescent="0.25"/>
    <row r="6071" s="1" customFormat="1" ht="15" x14ac:dyDescent="0.25"/>
    <row r="6072" s="1" customFormat="1" ht="15" x14ac:dyDescent="0.25"/>
    <row r="6073" s="1" customFormat="1" ht="15" x14ac:dyDescent="0.25"/>
    <row r="6074" s="1" customFormat="1" ht="15" x14ac:dyDescent="0.25"/>
    <row r="6075" s="1" customFormat="1" ht="15" x14ac:dyDescent="0.25"/>
    <row r="6076" s="1" customFormat="1" ht="15" x14ac:dyDescent="0.25"/>
    <row r="6077" s="1" customFormat="1" ht="15" x14ac:dyDescent="0.25"/>
    <row r="6078" s="1" customFormat="1" ht="15" x14ac:dyDescent="0.25"/>
    <row r="6079" s="1" customFormat="1" ht="15" x14ac:dyDescent="0.25"/>
    <row r="6080" s="1" customFormat="1" ht="15" x14ac:dyDescent="0.25"/>
    <row r="6081" s="1" customFormat="1" ht="15" x14ac:dyDescent="0.25"/>
    <row r="6082" s="1" customFormat="1" ht="15" x14ac:dyDescent="0.25"/>
    <row r="6083" s="1" customFormat="1" ht="15" x14ac:dyDescent="0.25"/>
    <row r="6084" s="1" customFormat="1" ht="15" x14ac:dyDescent="0.25"/>
    <row r="6085" s="1" customFormat="1" ht="15" x14ac:dyDescent="0.25"/>
    <row r="6086" s="1" customFormat="1" ht="15" x14ac:dyDescent="0.25"/>
    <row r="6087" s="1" customFormat="1" ht="15" x14ac:dyDescent="0.25"/>
    <row r="6088" s="1" customFormat="1" ht="15" x14ac:dyDescent="0.25"/>
    <row r="6089" s="1" customFormat="1" ht="15" x14ac:dyDescent="0.25"/>
    <row r="6090" s="1" customFormat="1" ht="15" x14ac:dyDescent="0.25"/>
    <row r="6091" s="1" customFormat="1" ht="15" x14ac:dyDescent="0.25"/>
    <row r="6092" s="1" customFormat="1" ht="15" x14ac:dyDescent="0.25"/>
    <row r="6093" s="1" customFormat="1" ht="15" x14ac:dyDescent="0.25"/>
    <row r="6094" s="1" customFormat="1" ht="15" x14ac:dyDescent="0.25"/>
    <row r="6095" s="1" customFormat="1" ht="15" x14ac:dyDescent="0.25"/>
    <row r="6096" s="1" customFormat="1" ht="15" x14ac:dyDescent="0.25"/>
    <row r="6097" s="1" customFormat="1" ht="15" x14ac:dyDescent="0.25"/>
    <row r="6098" s="1" customFormat="1" ht="15" x14ac:dyDescent="0.25"/>
    <row r="6099" s="1" customFormat="1" ht="15" x14ac:dyDescent="0.25"/>
    <row r="6100" s="1" customFormat="1" ht="15" x14ac:dyDescent="0.25"/>
    <row r="6101" s="1" customFormat="1" ht="15" x14ac:dyDescent="0.25"/>
    <row r="6102" s="1" customFormat="1" ht="15" x14ac:dyDescent="0.25"/>
    <row r="6103" s="1" customFormat="1" ht="15" x14ac:dyDescent="0.25"/>
    <row r="6104" s="1" customFormat="1" ht="15" x14ac:dyDescent="0.25"/>
    <row r="6105" s="1" customFormat="1" ht="15" x14ac:dyDescent="0.25"/>
    <row r="6106" s="1" customFormat="1" ht="15" x14ac:dyDescent="0.25"/>
    <row r="6107" s="1" customFormat="1" ht="15" x14ac:dyDescent="0.25"/>
    <row r="6108" s="1" customFormat="1" ht="15" x14ac:dyDescent="0.25"/>
    <row r="6109" s="1" customFormat="1" ht="15" x14ac:dyDescent="0.25"/>
    <row r="6110" s="1" customFormat="1" ht="15" x14ac:dyDescent="0.25"/>
    <row r="6111" s="1" customFormat="1" ht="15" x14ac:dyDescent="0.25"/>
    <row r="6112" s="1" customFormat="1" ht="15" x14ac:dyDescent="0.25"/>
    <row r="6113" s="1" customFormat="1" ht="15" x14ac:dyDescent="0.25"/>
    <row r="6114" s="1" customFormat="1" ht="15" x14ac:dyDescent="0.25"/>
    <row r="6115" s="1" customFormat="1" ht="15" x14ac:dyDescent="0.25"/>
    <row r="6116" s="1" customFormat="1" ht="15" x14ac:dyDescent="0.25"/>
    <row r="6117" s="1" customFormat="1" ht="15" x14ac:dyDescent="0.25"/>
    <row r="6118" s="1" customFormat="1" ht="15" x14ac:dyDescent="0.25"/>
    <row r="6119" s="1" customFormat="1" ht="15" x14ac:dyDescent="0.25"/>
    <row r="6120" s="1" customFormat="1" ht="15" x14ac:dyDescent="0.25"/>
    <row r="6121" s="1" customFormat="1" ht="15" x14ac:dyDescent="0.25"/>
    <row r="6122" s="1" customFormat="1" ht="15" x14ac:dyDescent="0.25"/>
    <row r="6123" s="1" customFormat="1" ht="15" x14ac:dyDescent="0.25"/>
    <row r="6124" s="1" customFormat="1" ht="15" x14ac:dyDescent="0.25"/>
    <row r="6125" s="1" customFormat="1" ht="15" x14ac:dyDescent="0.25"/>
    <row r="6126" s="1" customFormat="1" ht="15" x14ac:dyDescent="0.25"/>
    <row r="6127" s="1" customFormat="1" ht="15" x14ac:dyDescent="0.25"/>
    <row r="6128" s="1" customFormat="1" ht="15" x14ac:dyDescent="0.25"/>
    <row r="6129" s="1" customFormat="1" ht="15" x14ac:dyDescent="0.25"/>
    <row r="6130" s="1" customFormat="1" ht="15" x14ac:dyDescent="0.25"/>
    <row r="6131" s="1" customFormat="1" ht="15" x14ac:dyDescent="0.25"/>
    <row r="6132" s="1" customFormat="1" ht="15" x14ac:dyDescent="0.25"/>
    <row r="6133" s="1" customFormat="1" ht="15" x14ac:dyDescent="0.25"/>
    <row r="6134" s="1" customFormat="1" ht="15" x14ac:dyDescent="0.25"/>
    <row r="6135" s="1" customFormat="1" ht="15" x14ac:dyDescent="0.25"/>
    <row r="6136" s="1" customFormat="1" ht="15" x14ac:dyDescent="0.25"/>
    <row r="6137" s="1" customFormat="1" ht="15" x14ac:dyDescent="0.25"/>
    <row r="6138" s="1" customFormat="1" ht="15" x14ac:dyDescent="0.25"/>
    <row r="6139" s="1" customFormat="1" ht="15" x14ac:dyDescent="0.25"/>
    <row r="6140" s="1" customFormat="1" ht="15" x14ac:dyDescent="0.25"/>
    <row r="6141" s="1" customFormat="1" ht="15" x14ac:dyDescent="0.25"/>
    <row r="6142" s="1" customFormat="1" ht="15" x14ac:dyDescent="0.25"/>
    <row r="6143" s="1" customFormat="1" ht="15" x14ac:dyDescent="0.25"/>
    <row r="6144" s="1" customFormat="1" ht="15" x14ac:dyDescent="0.25"/>
    <row r="6145" s="1" customFormat="1" ht="15" x14ac:dyDescent="0.25"/>
    <row r="6146" s="1" customFormat="1" ht="15" x14ac:dyDescent="0.25"/>
    <row r="6147" s="1" customFormat="1" ht="15" x14ac:dyDescent="0.25"/>
    <row r="6148" s="1" customFormat="1" ht="15" x14ac:dyDescent="0.25"/>
    <row r="6149" s="1" customFormat="1" ht="15" x14ac:dyDescent="0.25"/>
    <row r="6150" s="1" customFormat="1" ht="15" x14ac:dyDescent="0.25"/>
    <row r="6151" s="1" customFormat="1" ht="15" x14ac:dyDescent="0.25"/>
    <row r="6152" s="1" customFormat="1" ht="15" x14ac:dyDescent="0.25"/>
    <row r="6153" s="1" customFormat="1" ht="15" x14ac:dyDescent="0.25"/>
    <row r="6154" s="1" customFormat="1" ht="15" x14ac:dyDescent="0.25"/>
    <row r="6155" s="1" customFormat="1" ht="15" x14ac:dyDescent="0.25"/>
    <row r="6156" s="1" customFormat="1" ht="15" x14ac:dyDescent="0.25"/>
    <row r="6157" s="1" customFormat="1" ht="15" x14ac:dyDescent="0.25"/>
    <row r="6158" s="1" customFormat="1" ht="15" x14ac:dyDescent="0.25"/>
    <row r="6159" s="1" customFormat="1" ht="15" x14ac:dyDescent="0.25"/>
    <row r="6160" s="1" customFormat="1" ht="15" x14ac:dyDescent="0.25"/>
    <row r="6161" s="1" customFormat="1" ht="15" x14ac:dyDescent="0.25"/>
    <row r="6162" s="1" customFormat="1" ht="15" x14ac:dyDescent="0.25"/>
    <row r="6163" s="1" customFormat="1" ht="15" x14ac:dyDescent="0.25"/>
    <row r="6164" s="1" customFormat="1" ht="15" x14ac:dyDescent="0.25"/>
    <row r="6165" s="1" customFormat="1" ht="15" x14ac:dyDescent="0.25"/>
    <row r="6166" s="1" customFormat="1" ht="15" x14ac:dyDescent="0.25"/>
    <row r="6167" s="1" customFormat="1" ht="15" x14ac:dyDescent="0.25"/>
    <row r="6168" s="1" customFormat="1" ht="15" x14ac:dyDescent="0.25"/>
    <row r="6169" s="1" customFormat="1" ht="15" x14ac:dyDescent="0.25"/>
    <row r="6170" s="1" customFormat="1" ht="15" x14ac:dyDescent="0.25"/>
    <row r="6171" s="1" customFormat="1" ht="15" x14ac:dyDescent="0.25"/>
    <row r="6172" s="1" customFormat="1" ht="15" x14ac:dyDescent="0.25"/>
    <row r="6173" s="1" customFormat="1" ht="15" x14ac:dyDescent="0.25"/>
    <row r="6174" s="1" customFormat="1" ht="15" x14ac:dyDescent="0.25"/>
    <row r="6175" s="1" customFormat="1" ht="15" x14ac:dyDescent="0.25"/>
    <row r="6176" s="1" customFormat="1" ht="15" x14ac:dyDescent="0.25"/>
    <row r="6177" s="1" customFormat="1" ht="15" x14ac:dyDescent="0.25"/>
    <row r="6178" s="1" customFormat="1" ht="15" x14ac:dyDescent="0.25"/>
    <row r="6179" s="1" customFormat="1" ht="15" x14ac:dyDescent="0.25"/>
    <row r="6180" s="1" customFormat="1" ht="15" x14ac:dyDescent="0.25"/>
    <row r="6181" s="1" customFormat="1" ht="15" x14ac:dyDescent="0.25"/>
    <row r="6182" s="1" customFormat="1" ht="15" x14ac:dyDescent="0.25"/>
    <row r="6183" s="1" customFormat="1" ht="15" x14ac:dyDescent="0.25"/>
    <row r="6184" s="1" customFormat="1" ht="15" x14ac:dyDescent="0.25"/>
    <row r="6185" s="1" customFormat="1" ht="15" x14ac:dyDescent="0.25"/>
    <row r="6186" s="1" customFormat="1" ht="15" x14ac:dyDescent="0.25"/>
    <row r="6187" s="1" customFormat="1" ht="15" x14ac:dyDescent="0.25"/>
    <row r="6188" s="1" customFormat="1" ht="15" x14ac:dyDescent="0.25"/>
    <row r="6189" s="1" customFormat="1" ht="15" x14ac:dyDescent="0.25"/>
    <row r="6190" s="1" customFormat="1" ht="15" x14ac:dyDescent="0.25"/>
    <row r="6191" s="1" customFormat="1" ht="15" x14ac:dyDescent="0.25"/>
    <row r="6192" s="1" customFormat="1" ht="15" x14ac:dyDescent="0.25"/>
    <row r="6193" s="1" customFormat="1" ht="15" x14ac:dyDescent="0.25"/>
    <row r="6194" s="1" customFormat="1" ht="15" x14ac:dyDescent="0.25"/>
    <row r="6195" s="1" customFormat="1" ht="15" x14ac:dyDescent="0.25"/>
    <row r="6196" s="1" customFormat="1" ht="15" x14ac:dyDescent="0.25"/>
    <row r="6197" s="1" customFormat="1" ht="15" x14ac:dyDescent="0.25"/>
    <row r="6198" s="1" customFormat="1" ht="15" x14ac:dyDescent="0.25"/>
    <row r="6199" s="1" customFormat="1" ht="15" x14ac:dyDescent="0.25"/>
    <row r="6200" s="1" customFormat="1" ht="15" x14ac:dyDescent="0.25"/>
    <row r="6201" s="1" customFormat="1" ht="15" x14ac:dyDescent="0.25"/>
    <row r="6202" s="1" customFormat="1" ht="15" x14ac:dyDescent="0.25"/>
    <row r="6203" s="1" customFormat="1" ht="15" x14ac:dyDescent="0.25"/>
    <row r="6204" s="1" customFormat="1" ht="15" x14ac:dyDescent="0.25"/>
    <row r="6205" s="1" customFormat="1" ht="15" x14ac:dyDescent="0.25"/>
    <row r="6206" s="1" customFormat="1" ht="15" x14ac:dyDescent="0.25"/>
    <row r="6207" s="1" customFormat="1" ht="15" x14ac:dyDescent="0.25"/>
    <row r="6208" s="1" customFormat="1" ht="15" x14ac:dyDescent="0.25"/>
    <row r="6209" s="1" customFormat="1" ht="15" x14ac:dyDescent="0.25"/>
    <row r="6210" s="1" customFormat="1" ht="15" x14ac:dyDescent="0.25"/>
    <row r="6211" s="1" customFormat="1" ht="15" x14ac:dyDescent="0.25"/>
    <row r="6212" s="1" customFormat="1" ht="15" x14ac:dyDescent="0.25"/>
    <row r="6213" s="1" customFormat="1" ht="15" x14ac:dyDescent="0.25"/>
    <row r="6214" s="1" customFormat="1" ht="15" x14ac:dyDescent="0.25"/>
    <row r="6215" s="1" customFormat="1" ht="15" x14ac:dyDescent="0.25"/>
    <row r="6216" s="1" customFormat="1" ht="15" x14ac:dyDescent="0.25"/>
    <row r="6217" s="1" customFormat="1" ht="15" x14ac:dyDescent="0.25"/>
    <row r="6218" s="1" customFormat="1" ht="15" x14ac:dyDescent="0.25"/>
    <row r="6219" s="1" customFormat="1" ht="15" x14ac:dyDescent="0.25"/>
    <row r="6220" s="1" customFormat="1" ht="15" x14ac:dyDescent="0.25"/>
    <row r="6221" s="1" customFormat="1" ht="15" x14ac:dyDescent="0.25"/>
    <row r="6222" s="1" customFormat="1" ht="15" x14ac:dyDescent="0.25"/>
    <row r="6223" s="1" customFormat="1" ht="15" x14ac:dyDescent="0.25"/>
    <row r="6224" s="1" customFormat="1" ht="15" x14ac:dyDescent="0.25"/>
    <row r="6225" s="1" customFormat="1" ht="15" x14ac:dyDescent="0.25"/>
    <row r="6226" s="1" customFormat="1" ht="15" x14ac:dyDescent="0.25"/>
    <row r="6227" s="1" customFormat="1" ht="15" x14ac:dyDescent="0.25"/>
    <row r="6228" s="1" customFormat="1" ht="15" x14ac:dyDescent="0.25"/>
    <row r="6229" s="1" customFormat="1" ht="15" x14ac:dyDescent="0.25"/>
    <row r="6230" s="1" customFormat="1" ht="15" x14ac:dyDescent="0.25"/>
    <row r="6231" s="1" customFormat="1" ht="15" x14ac:dyDescent="0.25"/>
    <row r="6232" s="1" customFormat="1" ht="15" x14ac:dyDescent="0.25"/>
    <row r="6233" s="1" customFormat="1" ht="15" x14ac:dyDescent="0.25"/>
    <row r="6234" s="1" customFormat="1" ht="15" x14ac:dyDescent="0.25"/>
    <row r="6235" s="1" customFormat="1" ht="15" x14ac:dyDescent="0.25"/>
    <row r="6236" s="1" customFormat="1" ht="15" x14ac:dyDescent="0.25"/>
    <row r="6237" s="1" customFormat="1" ht="15" x14ac:dyDescent="0.25"/>
    <row r="6238" s="1" customFormat="1" ht="15" x14ac:dyDescent="0.25"/>
    <row r="6239" s="1" customFormat="1" ht="15" x14ac:dyDescent="0.25"/>
    <row r="6240" s="1" customFormat="1" ht="15" x14ac:dyDescent="0.25"/>
    <row r="6241" s="1" customFormat="1" ht="15" x14ac:dyDescent="0.25"/>
    <row r="6242" s="1" customFormat="1" ht="15" x14ac:dyDescent="0.25"/>
    <row r="6243" s="1" customFormat="1" ht="15" x14ac:dyDescent="0.25"/>
    <row r="6244" s="1" customFormat="1" ht="15" x14ac:dyDescent="0.25"/>
    <row r="6245" s="1" customFormat="1" ht="15" x14ac:dyDescent="0.25"/>
    <row r="6246" s="1" customFormat="1" ht="15" x14ac:dyDescent="0.25"/>
    <row r="6247" s="1" customFormat="1" ht="15" x14ac:dyDescent="0.25"/>
    <row r="6248" s="1" customFormat="1" ht="15" x14ac:dyDescent="0.25"/>
    <row r="6249" s="1" customFormat="1" ht="15" x14ac:dyDescent="0.25"/>
    <row r="6250" s="1" customFormat="1" ht="15" x14ac:dyDescent="0.25"/>
    <row r="6251" s="1" customFormat="1" ht="15" x14ac:dyDescent="0.25"/>
    <row r="6252" s="1" customFormat="1" ht="15" x14ac:dyDescent="0.25"/>
    <row r="6253" s="1" customFormat="1" ht="15" x14ac:dyDescent="0.25"/>
    <row r="6254" s="1" customFormat="1" ht="15" x14ac:dyDescent="0.25"/>
    <row r="6255" s="1" customFormat="1" ht="15" x14ac:dyDescent="0.25"/>
    <row r="6256" s="1" customFormat="1" ht="15" x14ac:dyDescent="0.25"/>
    <row r="6257" s="1" customFormat="1" ht="15" x14ac:dyDescent="0.25"/>
    <row r="6258" s="1" customFormat="1" ht="15" x14ac:dyDescent="0.25"/>
    <row r="6259" s="1" customFormat="1" ht="15" x14ac:dyDescent="0.25"/>
    <row r="6260" s="1" customFormat="1" ht="15" x14ac:dyDescent="0.25"/>
    <row r="6261" s="1" customFormat="1" ht="15" x14ac:dyDescent="0.25"/>
    <row r="6262" s="1" customFormat="1" ht="15" x14ac:dyDescent="0.25"/>
    <row r="6263" s="1" customFormat="1" ht="15" x14ac:dyDescent="0.25"/>
    <row r="6264" s="1" customFormat="1" ht="15" x14ac:dyDescent="0.25"/>
    <row r="6265" s="1" customFormat="1" ht="15" x14ac:dyDescent="0.25"/>
    <row r="6266" s="1" customFormat="1" ht="15" x14ac:dyDescent="0.25"/>
    <row r="6267" s="1" customFormat="1" ht="15" x14ac:dyDescent="0.25"/>
    <row r="6268" s="1" customFormat="1" ht="15" x14ac:dyDescent="0.25"/>
    <row r="6269" s="1" customFormat="1" ht="15" x14ac:dyDescent="0.25"/>
    <row r="6270" s="1" customFormat="1" ht="15" x14ac:dyDescent="0.25"/>
    <row r="6271" s="1" customFormat="1" ht="15" x14ac:dyDescent="0.25"/>
    <row r="6272" s="1" customFormat="1" ht="15" x14ac:dyDescent="0.25"/>
    <row r="6273" s="1" customFormat="1" ht="15" x14ac:dyDescent="0.25"/>
    <row r="6274" s="1" customFormat="1" ht="15" x14ac:dyDescent="0.25"/>
    <row r="6275" s="1" customFormat="1" ht="15" x14ac:dyDescent="0.25"/>
    <row r="6276" s="1" customFormat="1" ht="15" x14ac:dyDescent="0.25"/>
    <row r="6277" s="1" customFormat="1" ht="15" x14ac:dyDescent="0.25"/>
    <row r="6278" s="1" customFormat="1" ht="15" x14ac:dyDescent="0.25"/>
    <row r="6279" s="1" customFormat="1" ht="15" x14ac:dyDescent="0.25"/>
    <row r="6280" s="1" customFormat="1" ht="15" x14ac:dyDescent="0.25"/>
    <row r="6281" s="1" customFormat="1" ht="15" x14ac:dyDescent="0.25"/>
    <row r="6282" s="1" customFormat="1" ht="15" x14ac:dyDescent="0.25"/>
    <row r="6283" s="1" customFormat="1" ht="15" x14ac:dyDescent="0.25"/>
    <row r="6284" s="1" customFormat="1" ht="15" x14ac:dyDescent="0.25"/>
    <row r="6285" s="1" customFormat="1" ht="15" x14ac:dyDescent="0.25"/>
    <row r="6286" s="1" customFormat="1" ht="15" x14ac:dyDescent="0.25"/>
    <row r="6287" s="1" customFormat="1" ht="15" x14ac:dyDescent="0.25"/>
    <row r="6288" s="1" customFormat="1" ht="15" x14ac:dyDescent="0.25"/>
    <row r="6289" s="1" customFormat="1" ht="15" x14ac:dyDescent="0.25"/>
    <row r="6290" s="1" customFormat="1" ht="15" x14ac:dyDescent="0.25"/>
    <row r="6291" s="1" customFormat="1" ht="15" x14ac:dyDescent="0.25"/>
    <row r="6292" s="1" customFormat="1" ht="15" x14ac:dyDescent="0.25"/>
    <row r="6293" s="1" customFormat="1" ht="15" x14ac:dyDescent="0.25"/>
    <row r="6294" s="1" customFormat="1" ht="15" x14ac:dyDescent="0.25"/>
    <row r="6295" s="1" customFormat="1" ht="15" x14ac:dyDescent="0.25"/>
    <row r="6296" s="1" customFormat="1" ht="15" x14ac:dyDescent="0.25"/>
    <row r="6297" s="1" customFormat="1" ht="15" x14ac:dyDescent="0.25"/>
    <row r="6298" s="1" customFormat="1" ht="15" x14ac:dyDescent="0.25"/>
    <row r="6299" s="1" customFormat="1" ht="15" x14ac:dyDescent="0.25"/>
    <row r="6300" s="1" customFormat="1" ht="15" x14ac:dyDescent="0.25"/>
    <row r="6301" s="1" customFormat="1" ht="15" x14ac:dyDescent="0.25"/>
    <row r="6302" s="1" customFormat="1" ht="15" x14ac:dyDescent="0.25"/>
    <row r="6303" s="1" customFormat="1" ht="15" x14ac:dyDescent="0.25"/>
    <row r="6304" s="1" customFormat="1" ht="15" x14ac:dyDescent="0.25"/>
    <row r="6305" s="1" customFormat="1" ht="15" x14ac:dyDescent="0.25"/>
    <row r="6306" s="1" customFormat="1" ht="15" x14ac:dyDescent="0.25"/>
    <row r="6307" s="1" customFormat="1" ht="15" x14ac:dyDescent="0.25"/>
    <row r="6308" s="1" customFormat="1" ht="15" x14ac:dyDescent="0.25"/>
    <row r="6309" s="1" customFormat="1" ht="15" x14ac:dyDescent="0.25"/>
    <row r="6310" s="1" customFormat="1" ht="15" x14ac:dyDescent="0.25"/>
    <row r="6311" s="1" customFormat="1" ht="15" x14ac:dyDescent="0.25"/>
    <row r="6312" s="1" customFormat="1" ht="15" x14ac:dyDescent="0.25"/>
    <row r="6313" s="1" customFormat="1" ht="15" x14ac:dyDescent="0.25"/>
    <row r="6314" s="1" customFormat="1" ht="15" x14ac:dyDescent="0.25"/>
    <row r="6315" s="1" customFormat="1" ht="15" x14ac:dyDescent="0.25"/>
    <row r="6316" s="1" customFormat="1" ht="15" x14ac:dyDescent="0.25"/>
    <row r="6317" s="1" customFormat="1" ht="15" x14ac:dyDescent="0.25"/>
    <row r="6318" s="1" customFormat="1" ht="15" x14ac:dyDescent="0.25"/>
    <row r="6319" s="1" customFormat="1" ht="15" x14ac:dyDescent="0.25"/>
    <row r="6320" s="1" customFormat="1" ht="15" x14ac:dyDescent="0.25"/>
    <row r="6321" s="1" customFormat="1" ht="15" x14ac:dyDescent="0.25"/>
    <row r="6322" s="1" customFormat="1" ht="15" x14ac:dyDescent="0.25"/>
    <row r="6323" s="1" customFormat="1" ht="15" x14ac:dyDescent="0.25"/>
    <row r="6324" s="1" customFormat="1" ht="15" x14ac:dyDescent="0.25"/>
    <row r="6325" s="1" customFormat="1" ht="15" x14ac:dyDescent="0.25"/>
    <row r="6326" s="1" customFormat="1" ht="15" x14ac:dyDescent="0.25"/>
    <row r="6327" s="1" customFormat="1" ht="15" x14ac:dyDescent="0.25"/>
    <row r="6328" s="1" customFormat="1" ht="15" x14ac:dyDescent="0.25"/>
    <row r="6329" s="1" customFormat="1" ht="15" x14ac:dyDescent="0.25"/>
    <row r="6330" s="1" customFormat="1" ht="15" x14ac:dyDescent="0.25"/>
    <row r="6331" s="1" customFormat="1" ht="15" x14ac:dyDescent="0.25"/>
    <row r="6332" s="1" customFormat="1" ht="15" x14ac:dyDescent="0.25"/>
    <row r="6333" s="1" customFormat="1" ht="15" x14ac:dyDescent="0.25"/>
    <row r="6334" s="1" customFormat="1" ht="15" x14ac:dyDescent="0.25"/>
    <row r="6335" s="1" customFormat="1" ht="15" x14ac:dyDescent="0.25"/>
    <row r="6336" s="1" customFormat="1" ht="15" x14ac:dyDescent="0.25"/>
    <row r="6337" s="1" customFormat="1" ht="15" x14ac:dyDescent="0.25"/>
    <row r="6338" s="1" customFormat="1" ht="15" x14ac:dyDescent="0.25"/>
    <row r="6339" s="1" customFormat="1" ht="15" x14ac:dyDescent="0.25"/>
    <row r="6340" s="1" customFormat="1" ht="15" x14ac:dyDescent="0.25"/>
    <row r="6341" s="1" customFormat="1" ht="15" x14ac:dyDescent="0.25"/>
    <row r="6342" s="1" customFormat="1" ht="15" x14ac:dyDescent="0.25"/>
    <row r="6343" s="1" customFormat="1" ht="15" x14ac:dyDescent="0.25"/>
    <row r="6344" s="1" customFormat="1" ht="15" x14ac:dyDescent="0.25"/>
    <row r="6345" s="1" customFormat="1" ht="15" x14ac:dyDescent="0.25"/>
    <row r="6346" s="1" customFormat="1" ht="15" x14ac:dyDescent="0.25"/>
    <row r="6347" s="1" customFormat="1" ht="15" x14ac:dyDescent="0.25"/>
    <row r="6348" s="1" customFormat="1" ht="15" x14ac:dyDescent="0.25"/>
    <row r="6349" s="1" customFormat="1" ht="15" x14ac:dyDescent="0.25"/>
    <row r="6350" s="1" customFormat="1" ht="15" x14ac:dyDescent="0.25"/>
    <row r="6351" s="1" customFormat="1" ht="15" x14ac:dyDescent="0.25"/>
    <row r="6352" s="1" customFormat="1" ht="15" x14ac:dyDescent="0.25"/>
    <row r="6353" s="1" customFormat="1" ht="15" x14ac:dyDescent="0.25"/>
    <row r="6354" s="1" customFormat="1" ht="15" x14ac:dyDescent="0.25"/>
    <row r="6355" s="1" customFormat="1" ht="15" x14ac:dyDescent="0.25"/>
    <row r="6356" s="1" customFormat="1" ht="15" x14ac:dyDescent="0.25"/>
    <row r="6357" s="1" customFormat="1" ht="15" x14ac:dyDescent="0.25"/>
    <row r="6358" s="1" customFormat="1" ht="15" x14ac:dyDescent="0.25"/>
    <row r="6359" s="1" customFormat="1" ht="15" x14ac:dyDescent="0.25"/>
    <row r="6360" s="1" customFormat="1" ht="15" x14ac:dyDescent="0.25"/>
    <row r="6361" s="1" customFormat="1" ht="15" x14ac:dyDescent="0.25"/>
    <row r="6362" s="1" customFormat="1" ht="15" x14ac:dyDescent="0.25"/>
    <row r="6363" s="1" customFormat="1" ht="15" x14ac:dyDescent="0.25"/>
    <row r="6364" s="1" customFormat="1" ht="15" x14ac:dyDescent="0.25"/>
    <row r="6365" s="1" customFormat="1" ht="15" x14ac:dyDescent="0.25"/>
    <row r="6366" s="1" customFormat="1" ht="15" x14ac:dyDescent="0.25"/>
    <row r="6367" s="1" customFormat="1" ht="15" x14ac:dyDescent="0.25"/>
    <row r="6368" s="1" customFormat="1" ht="15" x14ac:dyDescent="0.25"/>
    <row r="6369" s="1" customFormat="1" ht="15" x14ac:dyDescent="0.25"/>
    <row r="6370" s="1" customFormat="1" ht="15" x14ac:dyDescent="0.25"/>
    <row r="6371" s="1" customFormat="1" ht="15" x14ac:dyDescent="0.25"/>
    <row r="6372" s="1" customFormat="1" ht="15" x14ac:dyDescent="0.25"/>
    <row r="6373" s="1" customFormat="1" ht="15" x14ac:dyDescent="0.25"/>
    <row r="6374" s="1" customFormat="1" ht="15" x14ac:dyDescent="0.25"/>
    <row r="6375" s="1" customFormat="1" ht="15" x14ac:dyDescent="0.25"/>
    <row r="6376" s="1" customFormat="1" ht="15" x14ac:dyDescent="0.25"/>
    <row r="6377" s="1" customFormat="1" ht="15" x14ac:dyDescent="0.25"/>
    <row r="6378" s="1" customFormat="1" ht="15" x14ac:dyDescent="0.25"/>
    <row r="6379" s="1" customFormat="1" ht="15" x14ac:dyDescent="0.25"/>
    <row r="6380" s="1" customFormat="1" ht="15" x14ac:dyDescent="0.25"/>
    <row r="6381" s="1" customFormat="1" ht="15" x14ac:dyDescent="0.25"/>
    <row r="6382" s="1" customFormat="1" ht="15" x14ac:dyDescent="0.25"/>
    <row r="6383" s="1" customFormat="1" ht="15" x14ac:dyDescent="0.25"/>
    <row r="6384" s="1" customFormat="1" ht="15" x14ac:dyDescent="0.25"/>
    <row r="6385" s="1" customFormat="1" ht="15" x14ac:dyDescent="0.25"/>
    <row r="6386" s="1" customFormat="1" ht="15" x14ac:dyDescent="0.25"/>
    <row r="6387" s="1" customFormat="1" ht="15" x14ac:dyDescent="0.25"/>
    <row r="6388" s="1" customFormat="1" ht="15" x14ac:dyDescent="0.25"/>
    <row r="6389" s="1" customFormat="1" ht="15" x14ac:dyDescent="0.25"/>
    <row r="6390" s="1" customFormat="1" ht="15" x14ac:dyDescent="0.25"/>
    <row r="6391" s="1" customFormat="1" ht="15" x14ac:dyDescent="0.25"/>
    <row r="6392" s="1" customFormat="1" ht="15" x14ac:dyDescent="0.25"/>
    <row r="6393" s="1" customFormat="1" ht="15" x14ac:dyDescent="0.25"/>
    <row r="6394" s="1" customFormat="1" ht="15" x14ac:dyDescent="0.25"/>
    <row r="6395" s="1" customFormat="1" ht="15" x14ac:dyDescent="0.25"/>
    <row r="6396" s="1" customFormat="1" ht="15" x14ac:dyDescent="0.25"/>
    <row r="6397" s="1" customFormat="1" ht="15" x14ac:dyDescent="0.25"/>
    <row r="6398" s="1" customFormat="1" ht="15" x14ac:dyDescent="0.25"/>
    <row r="6399" s="1" customFormat="1" ht="15" x14ac:dyDescent="0.25"/>
    <row r="6400" s="1" customFormat="1" ht="15" x14ac:dyDescent="0.25"/>
    <row r="6401" s="1" customFormat="1" ht="15" x14ac:dyDescent="0.25"/>
    <row r="6402" s="1" customFormat="1" ht="15" x14ac:dyDescent="0.25"/>
    <row r="6403" s="1" customFormat="1" ht="15" x14ac:dyDescent="0.25"/>
    <row r="6404" s="1" customFormat="1" ht="15" x14ac:dyDescent="0.25"/>
    <row r="6405" s="1" customFormat="1" ht="15" x14ac:dyDescent="0.25"/>
    <row r="6406" s="1" customFormat="1" ht="15" x14ac:dyDescent="0.25"/>
    <row r="6407" s="1" customFormat="1" ht="15" x14ac:dyDescent="0.25"/>
    <row r="6408" s="1" customFormat="1" ht="15" x14ac:dyDescent="0.25"/>
    <row r="6409" s="1" customFormat="1" ht="15" x14ac:dyDescent="0.25"/>
    <row r="6410" s="1" customFormat="1" ht="15" x14ac:dyDescent="0.25"/>
    <row r="6411" s="1" customFormat="1" ht="15" x14ac:dyDescent="0.25"/>
    <row r="6412" s="1" customFormat="1" ht="15" x14ac:dyDescent="0.25"/>
    <row r="6413" s="1" customFormat="1" ht="15" x14ac:dyDescent="0.25"/>
    <row r="6414" s="1" customFormat="1" ht="15" x14ac:dyDescent="0.25"/>
    <row r="6415" s="1" customFormat="1" ht="15" x14ac:dyDescent="0.25"/>
    <row r="6416" s="1" customFormat="1" ht="15" x14ac:dyDescent="0.25"/>
    <row r="6417" s="1" customFormat="1" ht="15" x14ac:dyDescent="0.25"/>
    <row r="6418" s="1" customFormat="1" ht="15" x14ac:dyDescent="0.25"/>
    <row r="6419" s="1" customFormat="1" ht="15" x14ac:dyDescent="0.25"/>
    <row r="6420" s="1" customFormat="1" ht="15" x14ac:dyDescent="0.25"/>
    <row r="6421" s="1" customFormat="1" ht="15" x14ac:dyDescent="0.25"/>
    <row r="6422" s="1" customFormat="1" ht="15" x14ac:dyDescent="0.25"/>
    <row r="6423" s="1" customFormat="1" ht="15" x14ac:dyDescent="0.25"/>
    <row r="6424" s="1" customFormat="1" ht="15" x14ac:dyDescent="0.25"/>
    <row r="6425" s="1" customFormat="1" ht="15" x14ac:dyDescent="0.25"/>
    <row r="6426" s="1" customFormat="1" ht="15" x14ac:dyDescent="0.25"/>
    <row r="6427" s="1" customFormat="1" ht="15" x14ac:dyDescent="0.25"/>
    <row r="6428" s="1" customFormat="1" ht="15" x14ac:dyDescent="0.25"/>
    <row r="6429" s="1" customFormat="1" ht="15" x14ac:dyDescent="0.25"/>
    <row r="6430" s="1" customFormat="1" ht="15" x14ac:dyDescent="0.25"/>
    <row r="6431" s="1" customFormat="1" ht="15" x14ac:dyDescent="0.25"/>
    <row r="6432" s="1" customFormat="1" ht="15" x14ac:dyDescent="0.25"/>
    <row r="6433" s="1" customFormat="1" ht="15" x14ac:dyDescent="0.25"/>
    <row r="6434" s="1" customFormat="1" ht="15" x14ac:dyDescent="0.25"/>
    <row r="6435" s="1" customFormat="1" ht="15" x14ac:dyDescent="0.25"/>
    <row r="6436" s="1" customFormat="1" ht="15" x14ac:dyDescent="0.25"/>
    <row r="6437" s="1" customFormat="1" ht="15" x14ac:dyDescent="0.25"/>
    <row r="6438" s="1" customFormat="1" ht="15" x14ac:dyDescent="0.25"/>
    <row r="6439" s="1" customFormat="1" ht="15" x14ac:dyDescent="0.25"/>
    <row r="6440" s="1" customFormat="1" ht="15" x14ac:dyDescent="0.25"/>
    <row r="6441" s="1" customFormat="1" ht="15" x14ac:dyDescent="0.25"/>
    <row r="6442" s="1" customFormat="1" ht="15" x14ac:dyDescent="0.25"/>
    <row r="6443" s="1" customFormat="1" ht="15" x14ac:dyDescent="0.25"/>
    <row r="6444" s="1" customFormat="1" ht="15" x14ac:dyDescent="0.25"/>
    <row r="6445" s="1" customFormat="1" ht="15" x14ac:dyDescent="0.25"/>
    <row r="6446" s="1" customFormat="1" ht="15" x14ac:dyDescent="0.25"/>
    <row r="6447" s="1" customFormat="1" ht="15" x14ac:dyDescent="0.25"/>
    <row r="6448" s="1" customFormat="1" ht="15" x14ac:dyDescent="0.25"/>
    <row r="6449" s="1" customFormat="1" ht="15" x14ac:dyDescent="0.25"/>
    <row r="6450" s="1" customFormat="1" ht="15" x14ac:dyDescent="0.25"/>
    <row r="6451" s="1" customFormat="1" ht="15" x14ac:dyDescent="0.25"/>
    <row r="6452" s="1" customFormat="1" ht="15" x14ac:dyDescent="0.25"/>
    <row r="6453" s="1" customFormat="1" ht="15" x14ac:dyDescent="0.25"/>
    <row r="6454" s="1" customFormat="1" ht="15" x14ac:dyDescent="0.25"/>
    <row r="6455" s="1" customFormat="1" ht="15" x14ac:dyDescent="0.25"/>
    <row r="6456" s="1" customFormat="1" ht="15" x14ac:dyDescent="0.25"/>
    <row r="6457" s="1" customFormat="1" ht="15" x14ac:dyDescent="0.25"/>
    <row r="6458" s="1" customFormat="1" ht="15" x14ac:dyDescent="0.25"/>
    <row r="6459" s="1" customFormat="1" ht="15" x14ac:dyDescent="0.25"/>
    <row r="6460" s="1" customFormat="1" ht="15" x14ac:dyDescent="0.25"/>
    <row r="6461" s="1" customFormat="1" ht="15" x14ac:dyDescent="0.25"/>
    <row r="6462" s="1" customFormat="1" ht="15" x14ac:dyDescent="0.25"/>
    <row r="6463" s="1" customFormat="1" ht="15" x14ac:dyDescent="0.25"/>
    <row r="6464" s="1" customFormat="1" ht="15" x14ac:dyDescent="0.25"/>
    <row r="6465" s="1" customFormat="1" ht="15" x14ac:dyDescent="0.25"/>
    <row r="6466" s="1" customFormat="1" ht="15" x14ac:dyDescent="0.25"/>
    <row r="6467" s="1" customFormat="1" ht="15" x14ac:dyDescent="0.25"/>
    <row r="6468" s="1" customFormat="1" ht="15" x14ac:dyDescent="0.25"/>
    <row r="6469" s="1" customFormat="1" ht="15" x14ac:dyDescent="0.25"/>
    <row r="6470" s="1" customFormat="1" ht="15" x14ac:dyDescent="0.25"/>
    <row r="6471" s="1" customFormat="1" ht="15" x14ac:dyDescent="0.25"/>
    <row r="6472" s="1" customFormat="1" ht="15" x14ac:dyDescent="0.25"/>
    <row r="6473" s="1" customFormat="1" ht="15" x14ac:dyDescent="0.25"/>
    <row r="6474" s="1" customFormat="1" ht="15" x14ac:dyDescent="0.25"/>
    <row r="6475" s="1" customFormat="1" ht="15" x14ac:dyDescent="0.25"/>
    <row r="6476" s="1" customFormat="1" ht="15" x14ac:dyDescent="0.25"/>
    <row r="6477" s="1" customFormat="1" ht="15" x14ac:dyDescent="0.25"/>
    <row r="6478" s="1" customFormat="1" ht="15" x14ac:dyDescent="0.25"/>
    <row r="6479" s="1" customFormat="1" ht="15" x14ac:dyDescent="0.25"/>
    <row r="6480" s="1" customFormat="1" ht="15" x14ac:dyDescent="0.25"/>
    <row r="6481" s="1" customFormat="1" ht="15" x14ac:dyDescent="0.25"/>
    <row r="6482" s="1" customFormat="1" ht="15" x14ac:dyDescent="0.25"/>
    <row r="6483" s="1" customFormat="1" ht="15" x14ac:dyDescent="0.25"/>
    <row r="6484" s="1" customFormat="1" ht="15" x14ac:dyDescent="0.25"/>
    <row r="6485" s="1" customFormat="1" ht="15" x14ac:dyDescent="0.25"/>
    <row r="6486" s="1" customFormat="1" ht="15" x14ac:dyDescent="0.25"/>
    <row r="6487" s="1" customFormat="1" ht="15" x14ac:dyDescent="0.25"/>
    <row r="6488" s="1" customFormat="1" ht="15" x14ac:dyDescent="0.25"/>
    <row r="6489" s="1" customFormat="1" ht="15" x14ac:dyDescent="0.25"/>
    <row r="6490" s="1" customFormat="1" ht="15" x14ac:dyDescent="0.25"/>
    <row r="6491" s="1" customFormat="1" ht="15" x14ac:dyDescent="0.25"/>
    <row r="6492" s="1" customFormat="1" ht="15" x14ac:dyDescent="0.25"/>
    <row r="6493" s="1" customFormat="1" ht="15" x14ac:dyDescent="0.25"/>
    <row r="6494" s="1" customFormat="1" ht="15" x14ac:dyDescent="0.25"/>
    <row r="6495" s="1" customFormat="1" ht="15" x14ac:dyDescent="0.25"/>
    <row r="6496" s="1" customFormat="1" ht="15" x14ac:dyDescent="0.25"/>
    <row r="6497" s="1" customFormat="1" ht="15" x14ac:dyDescent="0.25"/>
    <row r="6498" s="1" customFormat="1" ht="15" x14ac:dyDescent="0.25"/>
    <row r="6499" s="1" customFormat="1" ht="15" x14ac:dyDescent="0.25"/>
    <row r="6500" s="1" customFormat="1" ht="15" x14ac:dyDescent="0.25"/>
    <row r="6501" s="1" customFormat="1" ht="15" x14ac:dyDescent="0.25"/>
    <row r="6502" s="1" customFormat="1" ht="15" x14ac:dyDescent="0.25"/>
    <row r="6503" s="1" customFormat="1" ht="15" x14ac:dyDescent="0.25"/>
    <row r="6504" s="1" customFormat="1" ht="15" x14ac:dyDescent="0.25"/>
    <row r="6505" s="1" customFormat="1" ht="15" x14ac:dyDescent="0.25"/>
    <row r="6506" s="1" customFormat="1" ht="15" x14ac:dyDescent="0.25"/>
    <row r="6507" s="1" customFormat="1" ht="15" x14ac:dyDescent="0.25"/>
    <row r="6508" s="1" customFormat="1" ht="15" x14ac:dyDescent="0.25"/>
    <row r="6509" s="1" customFormat="1" ht="15" x14ac:dyDescent="0.25"/>
    <row r="6510" s="1" customFormat="1" ht="15" x14ac:dyDescent="0.25"/>
    <row r="6511" s="1" customFormat="1" ht="15" x14ac:dyDescent="0.25"/>
    <row r="6512" s="1" customFormat="1" ht="15" x14ac:dyDescent="0.25"/>
    <row r="6513" s="1" customFormat="1" ht="15" x14ac:dyDescent="0.25"/>
    <row r="6514" s="1" customFormat="1" ht="15" x14ac:dyDescent="0.25"/>
    <row r="6515" s="1" customFormat="1" ht="15" x14ac:dyDescent="0.25"/>
    <row r="6516" s="1" customFormat="1" ht="15" x14ac:dyDescent="0.25"/>
    <row r="6517" s="1" customFormat="1" ht="15" x14ac:dyDescent="0.25"/>
    <row r="6518" s="1" customFormat="1" ht="15" x14ac:dyDescent="0.25"/>
    <row r="6519" s="1" customFormat="1" ht="15" x14ac:dyDescent="0.25"/>
    <row r="6520" s="1" customFormat="1" ht="15" x14ac:dyDescent="0.25"/>
    <row r="6521" s="1" customFormat="1" ht="15" x14ac:dyDescent="0.25"/>
    <row r="6522" s="1" customFormat="1" ht="15" x14ac:dyDescent="0.25"/>
    <row r="6523" s="1" customFormat="1" ht="15" x14ac:dyDescent="0.25"/>
    <row r="6524" s="1" customFormat="1" ht="15" x14ac:dyDescent="0.25"/>
    <row r="6525" s="1" customFormat="1" ht="15" x14ac:dyDescent="0.25"/>
    <row r="6526" s="1" customFormat="1" ht="15" x14ac:dyDescent="0.25"/>
    <row r="6527" s="1" customFormat="1" ht="15" x14ac:dyDescent="0.25"/>
    <row r="6528" s="1" customFormat="1" ht="15" x14ac:dyDescent="0.25"/>
    <row r="6529" s="1" customFormat="1" ht="15" x14ac:dyDescent="0.25"/>
    <row r="6530" s="1" customFormat="1" ht="15" x14ac:dyDescent="0.25"/>
    <row r="6531" s="1" customFormat="1" ht="15" x14ac:dyDescent="0.25"/>
    <row r="6532" s="1" customFormat="1" ht="15" x14ac:dyDescent="0.25"/>
    <row r="6533" s="1" customFormat="1" ht="15" x14ac:dyDescent="0.25"/>
    <row r="6534" s="1" customFormat="1" ht="15" x14ac:dyDescent="0.25"/>
    <row r="6535" s="1" customFormat="1" ht="15" x14ac:dyDescent="0.25"/>
    <row r="6536" s="1" customFormat="1" ht="15" x14ac:dyDescent="0.25"/>
    <row r="6537" s="1" customFormat="1" ht="15" x14ac:dyDescent="0.25"/>
    <row r="6538" s="1" customFormat="1" ht="15" x14ac:dyDescent="0.25"/>
    <row r="6539" s="1" customFormat="1" ht="15" x14ac:dyDescent="0.25"/>
    <row r="6540" s="1" customFormat="1" ht="15" x14ac:dyDescent="0.25"/>
    <row r="6541" s="1" customFormat="1" ht="15" x14ac:dyDescent="0.25"/>
    <row r="6542" s="1" customFormat="1" ht="15" x14ac:dyDescent="0.25"/>
    <row r="6543" s="1" customFormat="1" ht="15" x14ac:dyDescent="0.25"/>
    <row r="6544" s="1" customFormat="1" ht="15" x14ac:dyDescent="0.25"/>
    <row r="6545" s="1" customFormat="1" ht="15" x14ac:dyDescent="0.25"/>
    <row r="6546" s="1" customFormat="1" ht="15" x14ac:dyDescent="0.25"/>
    <row r="6547" s="1" customFormat="1" ht="15" x14ac:dyDescent="0.25"/>
    <row r="6548" s="1" customFormat="1" ht="15" x14ac:dyDescent="0.25"/>
    <row r="6549" s="1" customFormat="1" ht="15" x14ac:dyDescent="0.25"/>
    <row r="6550" s="1" customFormat="1" ht="15" x14ac:dyDescent="0.25"/>
    <row r="6551" s="1" customFormat="1" ht="15" x14ac:dyDescent="0.25"/>
    <row r="6552" s="1" customFormat="1" ht="15" x14ac:dyDescent="0.25"/>
    <row r="6553" s="1" customFormat="1" ht="15" x14ac:dyDescent="0.25"/>
    <row r="6554" s="1" customFormat="1" ht="15" x14ac:dyDescent="0.25"/>
    <row r="6555" s="1" customFormat="1" ht="15" x14ac:dyDescent="0.25"/>
    <row r="6556" s="1" customFormat="1" ht="15" x14ac:dyDescent="0.25"/>
    <row r="6557" s="1" customFormat="1" ht="15" x14ac:dyDescent="0.25"/>
    <row r="6558" s="1" customFormat="1" ht="15" x14ac:dyDescent="0.25"/>
    <row r="6559" s="1" customFormat="1" ht="15" x14ac:dyDescent="0.25"/>
    <row r="6560" s="1" customFormat="1" ht="15" x14ac:dyDescent="0.25"/>
    <row r="6561" s="1" customFormat="1" ht="15" x14ac:dyDescent="0.25"/>
    <row r="6562" s="1" customFormat="1" ht="15" x14ac:dyDescent="0.25"/>
    <row r="6563" s="1" customFormat="1" ht="15" x14ac:dyDescent="0.25"/>
    <row r="6564" s="1" customFormat="1" ht="15" x14ac:dyDescent="0.25"/>
    <row r="6565" s="1" customFormat="1" ht="15" x14ac:dyDescent="0.25"/>
    <row r="6566" s="1" customFormat="1" ht="15" x14ac:dyDescent="0.25"/>
    <row r="6567" s="1" customFormat="1" ht="15" x14ac:dyDescent="0.25"/>
    <row r="6568" s="1" customFormat="1" ht="15" x14ac:dyDescent="0.25"/>
    <row r="6569" s="1" customFormat="1" ht="15" x14ac:dyDescent="0.25"/>
    <row r="6570" s="1" customFormat="1" ht="15" x14ac:dyDescent="0.25"/>
    <row r="6571" s="1" customFormat="1" ht="15" x14ac:dyDescent="0.25"/>
    <row r="6572" s="1" customFormat="1" ht="15" x14ac:dyDescent="0.25"/>
    <row r="6573" s="1" customFormat="1" ht="15" x14ac:dyDescent="0.25"/>
    <row r="6574" s="1" customFormat="1" ht="15" x14ac:dyDescent="0.25"/>
    <row r="6575" s="1" customFormat="1" ht="15" x14ac:dyDescent="0.25"/>
    <row r="6576" s="1" customFormat="1" ht="15" x14ac:dyDescent="0.25"/>
    <row r="6577" s="1" customFormat="1" ht="15" x14ac:dyDescent="0.25"/>
    <row r="6578" s="1" customFormat="1" ht="15" x14ac:dyDescent="0.25"/>
    <row r="6579" s="1" customFormat="1" ht="15" x14ac:dyDescent="0.25"/>
    <row r="6580" s="1" customFormat="1" ht="15" x14ac:dyDescent="0.25"/>
    <row r="6581" s="1" customFormat="1" ht="15" x14ac:dyDescent="0.25"/>
    <row r="6582" s="1" customFormat="1" ht="15" x14ac:dyDescent="0.25"/>
    <row r="6583" s="1" customFormat="1" ht="15" x14ac:dyDescent="0.25"/>
    <row r="6584" s="1" customFormat="1" ht="15" x14ac:dyDescent="0.25"/>
    <row r="6585" s="1" customFormat="1" ht="15" x14ac:dyDescent="0.25"/>
    <row r="6586" s="1" customFormat="1" ht="15" x14ac:dyDescent="0.25"/>
    <row r="6587" s="1" customFormat="1" ht="15" x14ac:dyDescent="0.25"/>
    <row r="6588" s="1" customFormat="1" ht="15" x14ac:dyDescent="0.25"/>
    <row r="6589" s="1" customFormat="1" ht="15" x14ac:dyDescent="0.25"/>
    <row r="6590" s="1" customFormat="1" ht="15" x14ac:dyDescent="0.25"/>
    <row r="6591" s="1" customFormat="1" ht="15" x14ac:dyDescent="0.25"/>
    <row r="6592" s="1" customFormat="1" ht="15" x14ac:dyDescent="0.25"/>
    <row r="6593" s="1" customFormat="1" ht="15" x14ac:dyDescent="0.25"/>
    <row r="6594" s="1" customFormat="1" ht="15" x14ac:dyDescent="0.25"/>
    <row r="6595" s="1" customFormat="1" ht="15" x14ac:dyDescent="0.25"/>
    <row r="6596" s="1" customFormat="1" ht="15" x14ac:dyDescent="0.25"/>
    <row r="6597" s="1" customFormat="1" ht="15" x14ac:dyDescent="0.25"/>
    <row r="6598" s="1" customFormat="1" ht="15" x14ac:dyDescent="0.25"/>
    <row r="6599" s="1" customFormat="1" ht="15" x14ac:dyDescent="0.25"/>
    <row r="6600" s="1" customFormat="1" ht="15" x14ac:dyDescent="0.25"/>
    <row r="6601" s="1" customFormat="1" ht="15" x14ac:dyDescent="0.25"/>
    <row r="6602" s="1" customFormat="1" ht="15" x14ac:dyDescent="0.25"/>
    <row r="6603" s="1" customFormat="1" ht="15" x14ac:dyDescent="0.25"/>
    <row r="6604" s="1" customFormat="1" ht="15" x14ac:dyDescent="0.25"/>
    <row r="6605" s="1" customFormat="1" ht="15" x14ac:dyDescent="0.25"/>
    <row r="6606" s="1" customFormat="1" ht="15" x14ac:dyDescent="0.25"/>
    <row r="6607" s="1" customFormat="1" ht="15" x14ac:dyDescent="0.25"/>
    <row r="6608" s="1" customFormat="1" ht="15" x14ac:dyDescent="0.25"/>
    <row r="6609" s="1" customFormat="1" ht="15" x14ac:dyDescent="0.25"/>
    <row r="6610" s="1" customFormat="1" ht="15" x14ac:dyDescent="0.25"/>
    <row r="6611" s="1" customFormat="1" ht="15" x14ac:dyDescent="0.25"/>
    <row r="6612" s="1" customFormat="1" ht="15" x14ac:dyDescent="0.25"/>
    <row r="6613" s="1" customFormat="1" ht="15" x14ac:dyDescent="0.25"/>
    <row r="6614" s="1" customFormat="1" ht="15" x14ac:dyDescent="0.25"/>
    <row r="6615" s="1" customFormat="1" ht="15" x14ac:dyDescent="0.25"/>
    <row r="6616" s="1" customFormat="1" ht="15" x14ac:dyDescent="0.25"/>
    <row r="6617" s="1" customFormat="1" ht="15" x14ac:dyDescent="0.25"/>
    <row r="6618" s="1" customFormat="1" ht="15" x14ac:dyDescent="0.25"/>
    <row r="6619" s="1" customFormat="1" ht="15" x14ac:dyDescent="0.25"/>
    <row r="6620" s="1" customFormat="1" ht="15" x14ac:dyDescent="0.25"/>
    <row r="6621" s="1" customFormat="1" ht="15" x14ac:dyDescent="0.25"/>
    <row r="6622" s="1" customFormat="1" ht="15" x14ac:dyDescent="0.25"/>
    <row r="6623" s="1" customFormat="1" ht="15" x14ac:dyDescent="0.25"/>
    <row r="6624" s="1" customFormat="1" ht="15" x14ac:dyDescent="0.25"/>
    <row r="6625" s="1" customFormat="1" ht="15" x14ac:dyDescent="0.25"/>
    <row r="6626" s="1" customFormat="1" ht="15" x14ac:dyDescent="0.25"/>
    <row r="6627" s="1" customFormat="1" ht="15" x14ac:dyDescent="0.25"/>
    <row r="6628" s="1" customFormat="1" ht="15" x14ac:dyDescent="0.25"/>
    <row r="6629" s="1" customFormat="1" ht="15" x14ac:dyDescent="0.25"/>
    <row r="6630" s="1" customFormat="1" ht="15" x14ac:dyDescent="0.25"/>
    <row r="6631" s="1" customFormat="1" ht="15" x14ac:dyDescent="0.25"/>
    <row r="6632" s="1" customFormat="1" ht="15" x14ac:dyDescent="0.25"/>
    <row r="6633" s="1" customFormat="1" ht="15" x14ac:dyDescent="0.25"/>
    <row r="6634" s="1" customFormat="1" ht="15" x14ac:dyDescent="0.25"/>
    <row r="6635" s="1" customFormat="1" ht="15" x14ac:dyDescent="0.25"/>
    <row r="6636" s="1" customFormat="1" ht="15" x14ac:dyDescent="0.25"/>
    <row r="6637" s="1" customFormat="1" ht="15" x14ac:dyDescent="0.25"/>
    <row r="6638" s="1" customFormat="1" ht="15" x14ac:dyDescent="0.25"/>
    <row r="6639" s="1" customFormat="1" ht="15" x14ac:dyDescent="0.25"/>
    <row r="6640" s="1" customFormat="1" ht="15" x14ac:dyDescent="0.25"/>
    <row r="6641" s="1" customFormat="1" ht="15" x14ac:dyDescent="0.25"/>
    <row r="6642" s="1" customFormat="1" ht="15" x14ac:dyDescent="0.25"/>
    <row r="6643" s="1" customFormat="1" ht="15" x14ac:dyDescent="0.25"/>
    <row r="6644" s="1" customFormat="1" ht="15" x14ac:dyDescent="0.25"/>
    <row r="6645" s="1" customFormat="1" ht="15" x14ac:dyDescent="0.25"/>
    <row r="6646" s="1" customFormat="1" ht="15" x14ac:dyDescent="0.25"/>
    <row r="6647" s="1" customFormat="1" ht="15" x14ac:dyDescent="0.25"/>
    <row r="6648" s="1" customFormat="1" ht="15" x14ac:dyDescent="0.25"/>
    <row r="6649" s="1" customFormat="1" ht="15" x14ac:dyDescent="0.25"/>
    <row r="6650" s="1" customFormat="1" ht="15" x14ac:dyDescent="0.25"/>
    <row r="6651" s="1" customFormat="1" ht="15" x14ac:dyDescent="0.25"/>
    <row r="6652" s="1" customFormat="1" ht="15" x14ac:dyDescent="0.25"/>
    <row r="6653" s="1" customFormat="1" ht="15" x14ac:dyDescent="0.25"/>
    <row r="6654" s="1" customFormat="1" ht="15" x14ac:dyDescent="0.25"/>
    <row r="6655" s="1" customFormat="1" ht="15" x14ac:dyDescent="0.25"/>
    <row r="6656" s="1" customFormat="1" ht="15" x14ac:dyDescent="0.25"/>
    <row r="6657" s="1" customFormat="1" ht="15" x14ac:dyDescent="0.25"/>
    <row r="6658" s="1" customFormat="1" ht="15" x14ac:dyDescent="0.25"/>
    <row r="6659" s="1" customFormat="1" ht="15" x14ac:dyDescent="0.25"/>
    <row r="6660" s="1" customFormat="1" ht="15" x14ac:dyDescent="0.25"/>
    <row r="6661" s="1" customFormat="1" ht="15" x14ac:dyDescent="0.25"/>
    <row r="6662" s="1" customFormat="1" ht="15" x14ac:dyDescent="0.25"/>
    <row r="6663" s="1" customFormat="1" ht="15" x14ac:dyDescent="0.25"/>
    <row r="6664" s="1" customFormat="1" ht="15" x14ac:dyDescent="0.25"/>
    <row r="6665" s="1" customFormat="1" ht="15" x14ac:dyDescent="0.25"/>
    <row r="6666" s="1" customFormat="1" ht="15" x14ac:dyDescent="0.25"/>
    <row r="6667" s="1" customFormat="1" ht="15" x14ac:dyDescent="0.25"/>
    <row r="6668" s="1" customFormat="1" ht="15" x14ac:dyDescent="0.25"/>
    <row r="6669" s="1" customFormat="1" ht="15" x14ac:dyDescent="0.25"/>
    <row r="6670" s="1" customFormat="1" ht="15" x14ac:dyDescent="0.25"/>
    <row r="6671" s="1" customFormat="1" ht="15" x14ac:dyDescent="0.25"/>
    <row r="6672" s="1" customFormat="1" ht="15" x14ac:dyDescent="0.25"/>
    <row r="6673" s="1" customFormat="1" ht="15" x14ac:dyDescent="0.25"/>
    <row r="6674" s="1" customFormat="1" ht="15" x14ac:dyDescent="0.25"/>
    <row r="6675" s="1" customFormat="1" ht="15" x14ac:dyDescent="0.25"/>
    <row r="6676" s="1" customFormat="1" ht="15" x14ac:dyDescent="0.25"/>
    <row r="6677" s="1" customFormat="1" ht="15" x14ac:dyDescent="0.25"/>
    <row r="6678" s="1" customFormat="1" ht="15" x14ac:dyDescent="0.25"/>
    <row r="6679" s="1" customFormat="1" ht="15" x14ac:dyDescent="0.25"/>
    <row r="6680" s="1" customFormat="1" ht="15" x14ac:dyDescent="0.25"/>
    <row r="6681" s="1" customFormat="1" ht="15" x14ac:dyDescent="0.25"/>
    <row r="6682" s="1" customFormat="1" ht="15" x14ac:dyDescent="0.25"/>
    <row r="6683" s="1" customFormat="1" ht="15" x14ac:dyDescent="0.25"/>
    <row r="6684" s="1" customFormat="1" ht="15" x14ac:dyDescent="0.25"/>
    <row r="6685" s="1" customFormat="1" ht="15" x14ac:dyDescent="0.25"/>
    <row r="6686" s="1" customFormat="1" ht="15" x14ac:dyDescent="0.25"/>
    <row r="6687" s="1" customFormat="1" ht="15" x14ac:dyDescent="0.25"/>
    <row r="6688" s="1" customFormat="1" ht="15" x14ac:dyDescent="0.25"/>
    <row r="6689" s="1" customFormat="1" ht="15" x14ac:dyDescent="0.25"/>
    <row r="6690" s="1" customFormat="1" ht="15" x14ac:dyDescent="0.25"/>
    <row r="6691" s="1" customFormat="1" ht="15" x14ac:dyDescent="0.25"/>
    <row r="6692" s="1" customFormat="1" ht="15" x14ac:dyDescent="0.25"/>
    <row r="6693" s="1" customFormat="1" ht="15" x14ac:dyDescent="0.25"/>
    <row r="6694" s="1" customFormat="1" ht="15" x14ac:dyDescent="0.25"/>
    <row r="6695" s="1" customFormat="1" ht="15" x14ac:dyDescent="0.25"/>
    <row r="6696" s="1" customFormat="1" ht="15" x14ac:dyDescent="0.25"/>
    <row r="6697" s="1" customFormat="1" ht="15" x14ac:dyDescent="0.25"/>
    <row r="6698" s="1" customFormat="1" ht="15" x14ac:dyDescent="0.25"/>
    <row r="6699" s="1" customFormat="1" ht="15" x14ac:dyDescent="0.25"/>
    <row r="6700" s="1" customFormat="1" ht="15" x14ac:dyDescent="0.25"/>
    <row r="6701" s="1" customFormat="1" ht="15" x14ac:dyDescent="0.25"/>
    <row r="6702" s="1" customFormat="1" ht="15" x14ac:dyDescent="0.25"/>
    <row r="6703" s="1" customFormat="1" ht="15" x14ac:dyDescent="0.25"/>
    <row r="6704" s="1" customFormat="1" ht="15" x14ac:dyDescent="0.25"/>
    <row r="6705" s="1" customFormat="1" ht="15" x14ac:dyDescent="0.25"/>
    <row r="6706" s="1" customFormat="1" ht="15" x14ac:dyDescent="0.25"/>
    <row r="6707" s="1" customFormat="1" ht="15" x14ac:dyDescent="0.25"/>
    <row r="6708" s="1" customFormat="1" ht="15" x14ac:dyDescent="0.25"/>
    <row r="6709" s="1" customFormat="1" ht="15" x14ac:dyDescent="0.25"/>
    <row r="6710" s="1" customFormat="1" ht="15" x14ac:dyDescent="0.25"/>
    <row r="6711" s="1" customFormat="1" ht="15" x14ac:dyDescent="0.25"/>
    <row r="6712" s="1" customFormat="1" ht="15" x14ac:dyDescent="0.25"/>
    <row r="6713" s="1" customFormat="1" ht="15" x14ac:dyDescent="0.25"/>
    <row r="6714" s="1" customFormat="1" ht="15" x14ac:dyDescent="0.25"/>
    <row r="6715" s="1" customFormat="1" ht="15" x14ac:dyDescent="0.25"/>
    <row r="6716" s="1" customFormat="1" ht="15" x14ac:dyDescent="0.25"/>
    <row r="6717" s="1" customFormat="1" ht="15" x14ac:dyDescent="0.25"/>
    <row r="6718" s="1" customFormat="1" ht="15" x14ac:dyDescent="0.25"/>
    <row r="6719" s="1" customFormat="1" ht="15" x14ac:dyDescent="0.25"/>
    <row r="6720" s="1" customFormat="1" ht="15" x14ac:dyDescent="0.25"/>
    <row r="6721" s="1" customFormat="1" ht="15" x14ac:dyDescent="0.25"/>
    <row r="6722" s="1" customFormat="1" ht="15" x14ac:dyDescent="0.25"/>
    <row r="6723" s="1" customFormat="1" ht="15" x14ac:dyDescent="0.25"/>
    <row r="6724" s="1" customFormat="1" ht="15" x14ac:dyDescent="0.25"/>
    <row r="6725" s="1" customFormat="1" ht="15" x14ac:dyDescent="0.25"/>
    <row r="6726" s="1" customFormat="1" ht="15" x14ac:dyDescent="0.25"/>
    <row r="6727" s="1" customFormat="1" ht="15" x14ac:dyDescent="0.25"/>
    <row r="6728" s="1" customFormat="1" ht="15" x14ac:dyDescent="0.25"/>
    <row r="6729" s="1" customFormat="1" ht="15" x14ac:dyDescent="0.25"/>
    <row r="6730" s="1" customFormat="1" ht="15" x14ac:dyDescent="0.25"/>
    <row r="6731" s="1" customFormat="1" ht="15" x14ac:dyDescent="0.25"/>
    <row r="6732" s="1" customFormat="1" ht="15" x14ac:dyDescent="0.25"/>
    <row r="6733" s="1" customFormat="1" ht="15" x14ac:dyDescent="0.25"/>
    <row r="6734" s="1" customFormat="1" ht="15" x14ac:dyDescent="0.25"/>
    <row r="6735" s="1" customFormat="1" ht="15" x14ac:dyDescent="0.25"/>
    <row r="6736" s="1" customFormat="1" ht="15" x14ac:dyDescent="0.25"/>
    <row r="6737" s="1" customFormat="1" ht="15" x14ac:dyDescent="0.25"/>
    <row r="6738" s="1" customFormat="1" ht="15" x14ac:dyDescent="0.25"/>
    <row r="6739" s="1" customFormat="1" ht="15" x14ac:dyDescent="0.25"/>
    <row r="6740" s="1" customFormat="1" ht="15" x14ac:dyDescent="0.25"/>
    <row r="6741" s="1" customFormat="1" ht="15" x14ac:dyDescent="0.25"/>
    <row r="6742" s="1" customFormat="1" ht="15" x14ac:dyDescent="0.25"/>
    <row r="6743" s="1" customFormat="1" ht="15" x14ac:dyDescent="0.25"/>
    <row r="6744" s="1" customFormat="1" ht="15" x14ac:dyDescent="0.25"/>
    <row r="6745" s="1" customFormat="1" ht="15" x14ac:dyDescent="0.25"/>
    <row r="6746" s="1" customFormat="1" ht="15" x14ac:dyDescent="0.25"/>
    <row r="6747" s="1" customFormat="1" ht="15" x14ac:dyDescent="0.25"/>
    <row r="6748" s="1" customFormat="1" ht="15" x14ac:dyDescent="0.25"/>
    <row r="6749" s="1" customFormat="1" ht="15" x14ac:dyDescent="0.25"/>
    <row r="6750" s="1" customFormat="1" ht="15" x14ac:dyDescent="0.25"/>
    <row r="6751" s="1" customFormat="1" ht="15" x14ac:dyDescent="0.25"/>
    <row r="6752" s="1" customFormat="1" ht="15" x14ac:dyDescent="0.25"/>
    <row r="6753" s="1" customFormat="1" ht="15" x14ac:dyDescent="0.25"/>
    <row r="6754" s="1" customFormat="1" ht="15" x14ac:dyDescent="0.25"/>
    <row r="6755" s="1" customFormat="1" ht="15" x14ac:dyDescent="0.25"/>
    <row r="6756" s="1" customFormat="1" ht="15" x14ac:dyDescent="0.25"/>
    <row r="6757" s="1" customFormat="1" ht="15" x14ac:dyDescent="0.25"/>
    <row r="6758" s="1" customFormat="1" ht="15" x14ac:dyDescent="0.25"/>
    <row r="6759" s="1" customFormat="1" ht="15" x14ac:dyDescent="0.25"/>
    <row r="6760" s="1" customFormat="1" ht="15" x14ac:dyDescent="0.25"/>
    <row r="6761" s="1" customFormat="1" ht="15" x14ac:dyDescent="0.25"/>
    <row r="6762" s="1" customFormat="1" ht="15" x14ac:dyDescent="0.25"/>
    <row r="6763" s="1" customFormat="1" ht="15" x14ac:dyDescent="0.25"/>
    <row r="6764" s="1" customFormat="1" ht="15" x14ac:dyDescent="0.25"/>
    <row r="6765" s="1" customFormat="1" ht="15" x14ac:dyDescent="0.25"/>
    <row r="6766" s="1" customFormat="1" ht="15" x14ac:dyDescent="0.25"/>
    <row r="6767" s="1" customFormat="1" ht="15" x14ac:dyDescent="0.25"/>
    <row r="6768" s="1" customFormat="1" ht="15" x14ac:dyDescent="0.25"/>
    <row r="6769" s="1" customFormat="1" ht="15" x14ac:dyDescent="0.25"/>
    <row r="6770" s="1" customFormat="1" ht="15" x14ac:dyDescent="0.25"/>
    <row r="6771" s="1" customFormat="1" ht="15" x14ac:dyDescent="0.25"/>
    <row r="6772" s="1" customFormat="1" ht="15" x14ac:dyDescent="0.25"/>
    <row r="6773" s="1" customFormat="1" ht="15" x14ac:dyDescent="0.25"/>
    <row r="6774" s="1" customFormat="1" ht="15" x14ac:dyDescent="0.25"/>
    <row r="6775" s="1" customFormat="1" ht="15" x14ac:dyDescent="0.25"/>
    <row r="6776" s="1" customFormat="1" ht="15" x14ac:dyDescent="0.25"/>
    <row r="6777" s="1" customFormat="1" ht="15" x14ac:dyDescent="0.25"/>
    <row r="6778" s="1" customFormat="1" ht="15" x14ac:dyDescent="0.25"/>
    <row r="6779" s="1" customFormat="1" ht="15" x14ac:dyDescent="0.25"/>
    <row r="6780" s="1" customFormat="1" ht="15" x14ac:dyDescent="0.25"/>
    <row r="6781" s="1" customFormat="1" ht="15" x14ac:dyDescent="0.25"/>
    <row r="6782" s="1" customFormat="1" ht="15" x14ac:dyDescent="0.25"/>
    <row r="6783" s="1" customFormat="1" ht="15" x14ac:dyDescent="0.25"/>
    <row r="6784" s="1" customFormat="1" ht="15" x14ac:dyDescent="0.25"/>
    <row r="6785" s="1" customFormat="1" ht="15" x14ac:dyDescent="0.25"/>
    <row r="6786" s="1" customFormat="1" ht="15" x14ac:dyDescent="0.25"/>
    <row r="6787" s="1" customFormat="1" ht="15" x14ac:dyDescent="0.25"/>
    <row r="6788" s="1" customFormat="1" ht="15" x14ac:dyDescent="0.25"/>
    <row r="6789" s="1" customFormat="1" ht="15" x14ac:dyDescent="0.25"/>
    <row r="6790" s="1" customFormat="1" ht="15" x14ac:dyDescent="0.25"/>
    <row r="6791" s="1" customFormat="1" ht="15" x14ac:dyDescent="0.25"/>
    <row r="6792" s="1" customFormat="1" ht="15" x14ac:dyDescent="0.25"/>
    <row r="6793" s="1" customFormat="1" ht="15" x14ac:dyDescent="0.25"/>
    <row r="6794" s="1" customFormat="1" ht="15" x14ac:dyDescent="0.25"/>
    <row r="6795" s="1" customFormat="1" ht="15" x14ac:dyDescent="0.25"/>
    <row r="6796" s="1" customFormat="1" ht="15" x14ac:dyDescent="0.25"/>
    <row r="6797" s="1" customFormat="1" ht="15" x14ac:dyDescent="0.25"/>
    <row r="6798" s="1" customFormat="1" ht="15" x14ac:dyDescent="0.25"/>
    <row r="6799" s="1" customFormat="1" ht="15" x14ac:dyDescent="0.25"/>
    <row r="6800" s="1" customFormat="1" ht="15" x14ac:dyDescent="0.25"/>
    <row r="6801" s="1" customFormat="1" ht="15" x14ac:dyDescent="0.25"/>
    <row r="6802" s="1" customFormat="1" ht="15" x14ac:dyDescent="0.25"/>
    <row r="6803" s="1" customFormat="1" ht="15" x14ac:dyDescent="0.25"/>
    <row r="6804" s="1" customFormat="1" ht="15" x14ac:dyDescent="0.25"/>
    <row r="6805" s="1" customFormat="1" ht="15" x14ac:dyDescent="0.25"/>
    <row r="6806" s="1" customFormat="1" ht="15" x14ac:dyDescent="0.25"/>
    <row r="6807" s="1" customFormat="1" ht="15" x14ac:dyDescent="0.25"/>
    <row r="6808" s="1" customFormat="1" ht="15" x14ac:dyDescent="0.25"/>
    <row r="6809" s="1" customFormat="1" ht="15" x14ac:dyDescent="0.25"/>
    <row r="6810" s="1" customFormat="1" ht="15" x14ac:dyDescent="0.25"/>
    <row r="6811" s="1" customFormat="1" ht="15" x14ac:dyDescent="0.25"/>
    <row r="6812" s="1" customFormat="1" ht="15" x14ac:dyDescent="0.25"/>
    <row r="6813" s="1" customFormat="1" ht="15" x14ac:dyDescent="0.25"/>
    <row r="6814" s="1" customFormat="1" ht="15" x14ac:dyDescent="0.25"/>
    <row r="6815" s="1" customFormat="1" ht="15" x14ac:dyDescent="0.25"/>
    <row r="6816" s="1" customFormat="1" ht="15" x14ac:dyDescent="0.25"/>
    <row r="6817" s="1" customFormat="1" ht="15" x14ac:dyDescent="0.25"/>
    <row r="6818" s="1" customFormat="1" ht="15" x14ac:dyDescent="0.25"/>
    <row r="6819" s="1" customFormat="1" ht="15" x14ac:dyDescent="0.25"/>
    <row r="6820" s="1" customFormat="1" ht="15" x14ac:dyDescent="0.25"/>
    <row r="6821" s="1" customFormat="1" ht="15" x14ac:dyDescent="0.25"/>
    <row r="6822" s="1" customFormat="1" ht="15" x14ac:dyDescent="0.25"/>
    <row r="6823" s="1" customFormat="1" ht="15" x14ac:dyDescent="0.25"/>
    <row r="6824" s="1" customFormat="1" ht="15" x14ac:dyDescent="0.25"/>
    <row r="6825" s="1" customFormat="1" ht="15" x14ac:dyDescent="0.25"/>
    <row r="6826" s="1" customFormat="1" ht="15" x14ac:dyDescent="0.25"/>
    <row r="6827" s="1" customFormat="1" ht="15" x14ac:dyDescent="0.25"/>
    <row r="6828" s="1" customFormat="1" ht="15" x14ac:dyDescent="0.25"/>
    <row r="6829" s="1" customFormat="1" ht="15" x14ac:dyDescent="0.25"/>
    <row r="6830" s="1" customFormat="1" ht="15" x14ac:dyDescent="0.25"/>
    <row r="6831" s="1" customFormat="1" ht="15" x14ac:dyDescent="0.25"/>
    <row r="6832" s="1" customFormat="1" ht="15" x14ac:dyDescent="0.25"/>
    <row r="6833" s="1" customFormat="1" ht="15" x14ac:dyDescent="0.25"/>
    <row r="6834" s="1" customFormat="1" ht="15" x14ac:dyDescent="0.25"/>
    <row r="6835" s="1" customFormat="1" ht="15" x14ac:dyDescent="0.25"/>
    <row r="6836" s="1" customFormat="1" ht="15" x14ac:dyDescent="0.25"/>
    <row r="6837" s="1" customFormat="1" ht="15" x14ac:dyDescent="0.25"/>
    <row r="6838" s="1" customFormat="1" ht="15" x14ac:dyDescent="0.25"/>
    <row r="6839" s="1" customFormat="1" ht="15" x14ac:dyDescent="0.25"/>
    <row r="6840" s="1" customFormat="1" ht="15" x14ac:dyDescent="0.25"/>
    <row r="6841" s="1" customFormat="1" ht="15" x14ac:dyDescent="0.25"/>
    <row r="6842" s="1" customFormat="1" ht="15" x14ac:dyDescent="0.25"/>
    <row r="6843" s="1" customFormat="1" ht="15" x14ac:dyDescent="0.25"/>
    <row r="6844" s="1" customFormat="1" ht="15" x14ac:dyDescent="0.25"/>
    <row r="6845" s="1" customFormat="1" ht="15" x14ac:dyDescent="0.25"/>
    <row r="6846" s="1" customFormat="1" ht="15" x14ac:dyDescent="0.25"/>
    <row r="6847" s="1" customFormat="1" ht="15" x14ac:dyDescent="0.25"/>
    <row r="6848" s="1" customFormat="1" ht="15" x14ac:dyDescent="0.25"/>
    <row r="6849" s="1" customFormat="1" ht="15" x14ac:dyDescent="0.25"/>
    <row r="6850" s="1" customFormat="1" ht="15" x14ac:dyDescent="0.25"/>
    <row r="6851" s="1" customFormat="1" ht="15" x14ac:dyDescent="0.25"/>
    <row r="6852" s="1" customFormat="1" ht="15" x14ac:dyDescent="0.25"/>
    <row r="6853" s="1" customFormat="1" ht="15" x14ac:dyDescent="0.25"/>
    <row r="6854" s="1" customFormat="1" ht="15" x14ac:dyDescent="0.25"/>
    <row r="6855" s="1" customFormat="1" ht="15" x14ac:dyDescent="0.25"/>
    <row r="6856" s="1" customFormat="1" ht="15" x14ac:dyDescent="0.25"/>
    <row r="6857" s="1" customFormat="1" ht="15" x14ac:dyDescent="0.25"/>
    <row r="6858" s="1" customFormat="1" ht="15" x14ac:dyDescent="0.25"/>
    <row r="6859" s="1" customFormat="1" ht="15" x14ac:dyDescent="0.25"/>
    <row r="6860" s="1" customFormat="1" ht="15" x14ac:dyDescent="0.25"/>
    <row r="6861" s="1" customFormat="1" ht="15" x14ac:dyDescent="0.25"/>
    <row r="6862" s="1" customFormat="1" ht="15" x14ac:dyDescent="0.25"/>
    <row r="6863" s="1" customFormat="1" ht="15" x14ac:dyDescent="0.25"/>
    <row r="6864" s="1" customFormat="1" ht="15" x14ac:dyDescent="0.25"/>
    <row r="6865" s="1" customFormat="1" ht="15" x14ac:dyDescent="0.25"/>
    <row r="6866" s="1" customFormat="1" ht="15" x14ac:dyDescent="0.25"/>
    <row r="6867" s="1" customFormat="1" ht="15" x14ac:dyDescent="0.25"/>
    <row r="6868" s="1" customFormat="1" ht="15" x14ac:dyDescent="0.25"/>
    <row r="6869" s="1" customFormat="1" ht="15" x14ac:dyDescent="0.25"/>
    <row r="6870" s="1" customFormat="1" ht="15" x14ac:dyDescent="0.25"/>
    <row r="6871" s="1" customFormat="1" ht="15" x14ac:dyDescent="0.25"/>
    <row r="6872" s="1" customFormat="1" ht="15" x14ac:dyDescent="0.25"/>
    <row r="6873" s="1" customFormat="1" ht="15" x14ac:dyDescent="0.25"/>
    <row r="6874" s="1" customFormat="1" ht="15" x14ac:dyDescent="0.25"/>
    <row r="6875" s="1" customFormat="1" ht="15" x14ac:dyDescent="0.25"/>
    <row r="6876" s="1" customFormat="1" ht="15" x14ac:dyDescent="0.25"/>
    <row r="6877" s="1" customFormat="1" ht="15" x14ac:dyDescent="0.25"/>
    <row r="6878" s="1" customFormat="1" ht="15" x14ac:dyDescent="0.25"/>
    <row r="6879" s="1" customFormat="1" ht="15" x14ac:dyDescent="0.25"/>
    <row r="6880" s="1" customFormat="1" ht="15" x14ac:dyDescent="0.25"/>
    <row r="6881" s="1" customFormat="1" ht="15" x14ac:dyDescent="0.25"/>
    <row r="6882" s="1" customFormat="1" ht="15" x14ac:dyDescent="0.25"/>
    <row r="6883" s="1" customFormat="1" ht="15" x14ac:dyDescent="0.25"/>
    <row r="6884" s="1" customFormat="1" ht="15" x14ac:dyDescent="0.25"/>
    <row r="6885" s="1" customFormat="1" ht="15" x14ac:dyDescent="0.25"/>
    <row r="6886" s="1" customFormat="1" ht="15" x14ac:dyDescent="0.25"/>
    <row r="6887" s="1" customFormat="1" ht="15" x14ac:dyDescent="0.25"/>
    <row r="6888" s="1" customFormat="1" ht="15" x14ac:dyDescent="0.25"/>
    <row r="6889" s="1" customFormat="1" ht="15" x14ac:dyDescent="0.25"/>
    <row r="6890" s="1" customFormat="1" ht="15" x14ac:dyDescent="0.25"/>
    <row r="6891" s="1" customFormat="1" ht="15" x14ac:dyDescent="0.25"/>
    <row r="6892" s="1" customFormat="1" ht="15" x14ac:dyDescent="0.25"/>
    <row r="6893" s="1" customFormat="1" ht="15" x14ac:dyDescent="0.25"/>
    <row r="6894" s="1" customFormat="1" ht="15" x14ac:dyDescent="0.25"/>
    <row r="6895" s="1" customFormat="1" ht="15" x14ac:dyDescent="0.25"/>
    <row r="6896" s="1" customFormat="1" ht="15" x14ac:dyDescent="0.25"/>
    <row r="6897" s="1" customFormat="1" ht="15" x14ac:dyDescent="0.25"/>
    <row r="6898" s="1" customFormat="1" ht="15" x14ac:dyDescent="0.25"/>
    <row r="6899" s="1" customFormat="1" ht="15" x14ac:dyDescent="0.25"/>
    <row r="6900" s="1" customFormat="1" ht="15" x14ac:dyDescent="0.25"/>
    <row r="6901" s="1" customFormat="1" ht="15" x14ac:dyDescent="0.25"/>
    <row r="6902" s="1" customFormat="1" ht="15" x14ac:dyDescent="0.25"/>
    <row r="6903" s="1" customFormat="1" ht="15" x14ac:dyDescent="0.25"/>
    <row r="6904" s="1" customFormat="1" ht="15" x14ac:dyDescent="0.25"/>
    <row r="6905" s="1" customFormat="1" ht="15" x14ac:dyDescent="0.25"/>
    <row r="6906" s="1" customFormat="1" ht="15" x14ac:dyDescent="0.25"/>
    <row r="6907" s="1" customFormat="1" ht="15" x14ac:dyDescent="0.25"/>
    <row r="6908" s="1" customFormat="1" ht="15" x14ac:dyDescent="0.25"/>
    <row r="6909" s="1" customFormat="1" ht="15" x14ac:dyDescent="0.25"/>
    <row r="6910" s="1" customFormat="1" ht="15" x14ac:dyDescent="0.25"/>
    <row r="6911" s="1" customFormat="1" ht="15" x14ac:dyDescent="0.25"/>
    <row r="6912" s="1" customFormat="1" ht="15" x14ac:dyDescent="0.25"/>
    <row r="6913" s="1" customFormat="1" ht="15" x14ac:dyDescent="0.25"/>
    <row r="6914" s="1" customFormat="1" ht="15" x14ac:dyDescent="0.25"/>
    <row r="6915" s="1" customFormat="1" ht="15" x14ac:dyDescent="0.25"/>
    <row r="6916" s="1" customFormat="1" ht="15" x14ac:dyDescent="0.25"/>
    <row r="6917" s="1" customFormat="1" ht="15" x14ac:dyDescent="0.25"/>
    <row r="6918" s="1" customFormat="1" ht="15" x14ac:dyDescent="0.25"/>
    <row r="6919" s="1" customFormat="1" ht="15" x14ac:dyDescent="0.25"/>
    <row r="6920" s="1" customFormat="1" ht="15" x14ac:dyDescent="0.25"/>
    <row r="6921" s="1" customFormat="1" ht="15" x14ac:dyDescent="0.25"/>
    <row r="6922" s="1" customFormat="1" ht="15" x14ac:dyDescent="0.25"/>
    <row r="6923" s="1" customFormat="1" ht="15" x14ac:dyDescent="0.25"/>
    <row r="6924" s="1" customFormat="1" ht="15" x14ac:dyDescent="0.25"/>
    <row r="6925" s="1" customFormat="1" ht="15" x14ac:dyDescent="0.25"/>
    <row r="6926" s="1" customFormat="1" ht="15" x14ac:dyDescent="0.25"/>
    <row r="6927" s="1" customFormat="1" ht="15" x14ac:dyDescent="0.25"/>
    <row r="6928" s="1" customFormat="1" ht="15" x14ac:dyDescent="0.25"/>
    <row r="6929" s="1" customFormat="1" ht="15" x14ac:dyDescent="0.25"/>
    <row r="6930" s="1" customFormat="1" ht="15" x14ac:dyDescent="0.25"/>
    <row r="6931" s="1" customFormat="1" ht="15" x14ac:dyDescent="0.25"/>
    <row r="6932" s="1" customFormat="1" ht="15" x14ac:dyDescent="0.25"/>
    <row r="6933" s="1" customFormat="1" ht="15" x14ac:dyDescent="0.25"/>
    <row r="6934" s="1" customFormat="1" ht="15" x14ac:dyDescent="0.25"/>
    <row r="6935" s="1" customFormat="1" ht="15" x14ac:dyDescent="0.25"/>
    <row r="6936" s="1" customFormat="1" ht="15" x14ac:dyDescent="0.25"/>
    <row r="6937" s="1" customFormat="1" ht="15" x14ac:dyDescent="0.25"/>
    <row r="6938" s="1" customFormat="1" ht="15" x14ac:dyDescent="0.25"/>
    <row r="6939" s="1" customFormat="1" ht="15" x14ac:dyDescent="0.25"/>
    <row r="6940" s="1" customFormat="1" ht="15" x14ac:dyDescent="0.25"/>
    <row r="6941" s="1" customFormat="1" ht="15" x14ac:dyDescent="0.25"/>
    <row r="6942" s="1" customFormat="1" ht="15" x14ac:dyDescent="0.25"/>
    <row r="6943" s="1" customFormat="1" ht="15" x14ac:dyDescent="0.25"/>
    <row r="6944" s="1" customFormat="1" ht="15" x14ac:dyDescent="0.25"/>
    <row r="6945" s="1" customFormat="1" ht="15" x14ac:dyDescent="0.25"/>
    <row r="6946" s="1" customFormat="1" ht="15" x14ac:dyDescent="0.25"/>
    <row r="6947" s="1" customFormat="1" ht="15" x14ac:dyDescent="0.25"/>
    <row r="6948" s="1" customFormat="1" ht="15" x14ac:dyDescent="0.25"/>
    <row r="6949" s="1" customFormat="1" ht="15" x14ac:dyDescent="0.25"/>
    <row r="6950" s="1" customFormat="1" ht="15" x14ac:dyDescent="0.25"/>
    <row r="6951" s="1" customFormat="1" ht="15" x14ac:dyDescent="0.25"/>
    <row r="6952" s="1" customFormat="1" ht="15" x14ac:dyDescent="0.25"/>
    <row r="6953" s="1" customFormat="1" ht="15" x14ac:dyDescent="0.25"/>
    <row r="6954" s="1" customFormat="1" ht="15" x14ac:dyDescent="0.25"/>
    <row r="6955" s="1" customFormat="1" ht="15" x14ac:dyDescent="0.25"/>
    <row r="6956" s="1" customFormat="1" ht="15" x14ac:dyDescent="0.25"/>
    <row r="6957" s="1" customFormat="1" ht="15" x14ac:dyDescent="0.25"/>
    <row r="6958" s="1" customFormat="1" ht="15" x14ac:dyDescent="0.25"/>
    <row r="6959" s="1" customFormat="1" ht="15" x14ac:dyDescent="0.25"/>
    <row r="6960" s="1" customFormat="1" ht="15" x14ac:dyDescent="0.25"/>
    <row r="6961" s="1" customFormat="1" ht="15" x14ac:dyDescent="0.25"/>
    <row r="6962" s="1" customFormat="1" ht="15" x14ac:dyDescent="0.25"/>
    <row r="6963" s="1" customFormat="1" ht="15" x14ac:dyDescent="0.25"/>
    <row r="6964" s="1" customFormat="1" ht="15" x14ac:dyDescent="0.25"/>
    <row r="6965" s="1" customFormat="1" ht="15" x14ac:dyDescent="0.25"/>
    <row r="6966" s="1" customFormat="1" ht="15" x14ac:dyDescent="0.25"/>
    <row r="6967" s="1" customFormat="1" ht="15" x14ac:dyDescent="0.25"/>
    <row r="6968" s="1" customFormat="1" ht="15" x14ac:dyDescent="0.25"/>
    <row r="6969" s="1" customFormat="1" ht="15" x14ac:dyDescent="0.25"/>
    <row r="6970" s="1" customFormat="1" ht="15" x14ac:dyDescent="0.25"/>
    <row r="6971" s="1" customFormat="1" ht="15" x14ac:dyDescent="0.25"/>
    <row r="6972" s="1" customFormat="1" ht="15" x14ac:dyDescent="0.25"/>
    <row r="6973" s="1" customFormat="1" ht="15" x14ac:dyDescent="0.25"/>
    <row r="6974" s="1" customFormat="1" ht="15" x14ac:dyDescent="0.25"/>
    <row r="6975" s="1" customFormat="1" ht="15" x14ac:dyDescent="0.25"/>
    <row r="6976" s="1" customFormat="1" ht="15" x14ac:dyDescent="0.25"/>
    <row r="6977" s="1" customFormat="1" ht="15" x14ac:dyDescent="0.25"/>
    <row r="6978" s="1" customFormat="1" ht="15" x14ac:dyDescent="0.25"/>
    <row r="6979" s="1" customFormat="1" ht="15" x14ac:dyDescent="0.25"/>
    <row r="6980" s="1" customFormat="1" ht="15" x14ac:dyDescent="0.25"/>
    <row r="6981" s="1" customFormat="1" ht="15" x14ac:dyDescent="0.25"/>
    <row r="6982" s="1" customFormat="1" ht="15" x14ac:dyDescent="0.25"/>
    <row r="6983" s="1" customFormat="1" ht="15" x14ac:dyDescent="0.25"/>
    <row r="6984" s="1" customFormat="1" ht="15" x14ac:dyDescent="0.25"/>
    <row r="6985" s="1" customFormat="1" ht="15" x14ac:dyDescent="0.25"/>
    <row r="6986" s="1" customFormat="1" ht="15" x14ac:dyDescent="0.25"/>
    <row r="6987" s="1" customFormat="1" ht="15" x14ac:dyDescent="0.25"/>
    <row r="6988" s="1" customFormat="1" ht="15" x14ac:dyDescent="0.25"/>
    <row r="6989" s="1" customFormat="1" ht="15" x14ac:dyDescent="0.25"/>
    <row r="6990" s="1" customFormat="1" ht="15" x14ac:dyDescent="0.25"/>
    <row r="6991" s="1" customFormat="1" ht="15" x14ac:dyDescent="0.25"/>
    <row r="6992" s="1" customFormat="1" ht="15" x14ac:dyDescent="0.25"/>
    <row r="6993" s="1" customFormat="1" ht="15" x14ac:dyDescent="0.25"/>
    <row r="6994" s="1" customFormat="1" ht="15" x14ac:dyDescent="0.25"/>
    <row r="6995" s="1" customFormat="1" ht="15" x14ac:dyDescent="0.25"/>
    <row r="6996" s="1" customFormat="1" ht="15" x14ac:dyDescent="0.25"/>
    <row r="6997" s="1" customFormat="1" ht="15" x14ac:dyDescent="0.25"/>
    <row r="6998" s="1" customFormat="1" ht="15" x14ac:dyDescent="0.25"/>
    <row r="6999" s="1" customFormat="1" ht="15" x14ac:dyDescent="0.25"/>
    <row r="7000" s="1" customFormat="1" ht="15" x14ac:dyDescent="0.25"/>
    <row r="7001" s="1" customFormat="1" ht="15" x14ac:dyDescent="0.25"/>
    <row r="7002" s="1" customFormat="1" ht="15" x14ac:dyDescent="0.25"/>
    <row r="7003" s="1" customFormat="1" ht="15" x14ac:dyDescent="0.25"/>
    <row r="7004" s="1" customFormat="1" ht="15" x14ac:dyDescent="0.25"/>
    <row r="7005" s="1" customFormat="1" ht="15" x14ac:dyDescent="0.25"/>
    <row r="7006" s="1" customFormat="1" ht="15" x14ac:dyDescent="0.25"/>
    <row r="7007" s="1" customFormat="1" ht="15" x14ac:dyDescent="0.25"/>
    <row r="7008" s="1" customFormat="1" ht="15" x14ac:dyDescent="0.25"/>
    <row r="7009" s="1" customFormat="1" ht="15" x14ac:dyDescent="0.25"/>
    <row r="7010" s="1" customFormat="1" ht="15" x14ac:dyDescent="0.25"/>
    <row r="7011" s="1" customFormat="1" ht="15" x14ac:dyDescent="0.25"/>
    <row r="7012" s="1" customFormat="1" ht="15" x14ac:dyDescent="0.25"/>
    <row r="7013" s="1" customFormat="1" ht="15" x14ac:dyDescent="0.25"/>
    <row r="7014" s="1" customFormat="1" ht="15" x14ac:dyDescent="0.25"/>
    <row r="7015" s="1" customFormat="1" ht="15" x14ac:dyDescent="0.25"/>
    <row r="7016" s="1" customFormat="1" ht="15" x14ac:dyDescent="0.25"/>
    <row r="7017" s="1" customFormat="1" ht="15" x14ac:dyDescent="0.25"/>
    <row r="7018" s="1" customFormat="1" ht="15" x14ac:dyDescent="0.25"/>
    <row r="7019" s="1" customFormat="1" ht="15" x14ac:dyDescent="0.25"/>
    <row r="7020" s="1" customFormat="1" ht="15" x14ac:dyDescent="0.25"/>
    <row r="7021" s="1" customFormat="1" ht="15" x14ac:dyDescent="0.25"/>
    <row r="7022" s="1" customFormat="1" ht="15" x14ac:dyDescent="0.25"/>
    <row r="7023" s="1" customFormat="1" ht="15" x14ac:dyDescent="0.25"/>
    <row r="7024" s="1" customFormat="1" ht="15" x14ac:dyDescent="0.25"/>
    <row r="7025" s="1" customFormat="1" ht="15" x14ac:dyDescent="0.25"/>
    <row r="7026" s="1" customFormat="1" ht="15" x14ac:dyDescent="0.25"/>
    <row r="7027" s="1" customFormat="1" ht="15" x14ac:dyDescent="0.25"/>
    <row r="7028" s="1" customFormat="1" ht="15" x14ac:dyDescent="0.25"/>
    <row r="7029" s="1" customFormat="1" ht="15" x14ac:dyDescent="0.25"/>
    <row r="7030" s="1" customFormat="1" ht="15" x14ac:dyDescent="0.25"/>
    <row r="7031" s="1" customFormat="1" ht="15" x14ac:dyDescent="0.25"/>
    <row r="7032" s="1" customFormat="1" ht="15" x14ac:dyDescent="0.25"/>
    <row r="7033" s="1" customFormat="1" ht="15" x14ac:dyDescent="0.25"/>
    <row r="7034" s="1" customFormat="1" ht="15" x14ac:dyDescent="0.25"/>
    <row r="7035" s="1" customFormat="1" ht="15" x14ac:dyDescent="0.25"/>
    <row r="7036" s="1" customFormat="1" ht="15" x14ac:dyDescent="0.25"/>
    <row r="7037" s="1" customFormat="1" ht="15" x14ac:dyDescent="0.25"/>
    <row r="7038" s="1" customFormat="1" ht="15" x14ac:dyDescent="0.25"/>
    <row r="7039" s="1" customFormat="1" ht="15" x14ac:dyDescent="0.25"/>
    <row r="7040" s="1" customFormat="1" ht="15" x14ac:dyDescent="0.25"/>
    <row r="7041" s="1" customFormat="1" ht="15" x14ac:dyDescent="0.25"/>
    <row r="7042" s="1" customFormat="1" ht="15" x14ac:dyDescent="0.25"/>
    <row r="7043" s="1" customFormat="1" ht="15" x14ac:dyDescent="0.25"/>
    <row r="7044" s="1" customFormat="1" ht="15" x14ac:dyDescent="0.25"/>
    <row r="7045" s="1" customFormat="1" ht="15" x14ac:dyDescent="0.25"/>
    <row r="7046" s="1" customFormat="1" ht="15" x14ac:dyDescent="0.25"/>
    <row r="7047" s="1" customFormat="1" ht="15" x14ac:dyDescent="0.25"/>
    <row r="7048" s="1" customFormat="1" ht="15" x14ac:dyDescent="0.25"/>
    <row r="7049" s="1" customFormat="1" ht="15" x14ac:dyDescent="0.25"/>
    <row r="7050" s="1" customFormat="1" ht="15" x14ac:dyDescent="0.25"/>
    <row r="7051" s="1" customFormat="1" ht="15" x14ac:dyDescent="0.25"/>
    <row r="7052" s="1" customFormat="1" ht="15" x14ac:dyDescent="0.25"/>
    <row r="7053" s="1" customFormat="1" ht="15" x14ac:dyDescent="0.25"/>
    <row r="7054" s="1" customFormat="1" ht="15" x14ac:dyDescent="0.25"/>
    <row r="7055" s="1" customFormat="1" ht="15" x14ac:dyDescent="0.25"/>
    <row r="7056" s="1" customFormat="1" ht="15" x14ac:dyDescent="0.25"/>
    <row r="7057" s="1" customFormat="1" ht="15" x14ac:dyDescent="0.25"/>
    <row r="7058" s="1" customFormat="1" ht="15" x14ac:dyDescent="0.25"/>
    <row r="7059" s="1" customFormat="1" ht="15" x14ac:dyDescent="0.25"/>
    <row r="7060" s="1" customFormat="1" ht="15" x14ac:dyDescent="0.25"/>
    <row r="7061" s="1" customFormat="1" ht="15" x14ac:dyDescent="0.25"/>
    <row r="7062" s="1" customFormat="1" ht="15" x14ac:dyDescent="0.25"/>
    <row r="7063" s="1" customFormat="1" ht="15" x14ac:dyDescent="0.25"/>
    <row r="7064" s="1" customFormat="1" ht="15" x14ac:dyDescent="0.25"/>
    <row r="7065" s="1" customFormat="1" ht="15" x14ac:dyDescent="0.25"/>
    <row r="7066" s="1" customFormat="1" ht="15" x14ac:dyDescent="0.25"/>
    <row r="7067" s="1" customFormat="1" ht="15" x14ac:dyDescent="0.25"/>
    <row r="7068" s="1" customFormat="1" ht="15" x14ac:dyDescent="0.25"/>
    <row r="7069" s="1" customFormat="1" ht="15" x14ac:dyDescent="0.25"/>
    <row r="7070" s="1" customFormat="1" ht="15" x14ac:dyDescent="0.25"/>
    <row r="7071" s="1" customFormat="1" ht="15" x14ac:dyDescent="0.25"/>
    <row r="7072" s="1" customFormat="1" ht="15" x14ac:dyDescent="0.25"/>
    <row r="7073" s="1" customFormat="1" ht="15" x14ac:dyDescent="0.25"/>
    <row r="7074" s="1" customFormat="1" ht="15" x14ac:dyDescent="0.25"/>
    <row r="7075" s="1" customFormat="1" ht="15" x14ac:dyDescent="0.25"/>
    <row r="7076" s="1" customFormat="1" ht="15" x14ac:dyDescent="0.25"/>
    <row r="7077" s="1" customFormat="1" ht="15" x14ac:dyDescent="0.25"/>
    <row r="7078" s="1" customFormat="1" ht="15" x14ac:dyDescent="0.25"/>
    <row r="7079" s="1" customFormat="1" ht="15" x14ac:dyDescent="0.25"/>
    <row r="7080" s="1" customFormat="1" ht="15" x14ac:dyDescent="0.25"/>
    <row r="7081" s="1" customFormat="1" ht="15" x14ac:dyDescent="0.25"/>
    <row r="7082" s="1" customFormat="1" ht="15" x14ac:dyDescent="0.25"/>
    <row r="7083" s="1" customFormat="1" ht="15" x14ac:dyDescent="0.25"/>
    <row r="7084" s="1" customFormat="1" ht="15" x14ac:dyDescent="0.25"/>
    <row r="7085" s="1" customFormat="1" ht="15" x14ac:dyDescent="0.25"/>
    <row r="7086" s="1" customFormat="1" ht="15" x14ac:dyDescent="0.25"/>
    <row r="7087" s="1" customFormat="1" ht="15" x14ac:dyDescent="0.25"/>
    <row r="7088" s="1" customFormat="1" ht="15" x14ac:dyDescent="0.25"/>
    <row r="7089" s="1" customFormat="1" ht="15" x14ac:dyDescent="0.25"/>
    <row r="7090" s="1" customFormat="1" ht="15" x14ac:dyDescent="0.25"/>
    <row r="7091" s="1" customFormat="1" ht="15" x14ac:dyDescent="0.25"/>
    <row r="7092" s="1" customFormat="1" ht="15" x14ac:dyDescent="0.25"/>
    <row r="7093" s="1" customFormat="1" ht="15" x14ac:dyDescent="0.25"/>
    <row r="7094" s="1" customFormat="1" ht="15" x14ac:dyDescent="0.25"/>
    <row r="7095" s="1" customFormat="1" ht="15" x14ac:dyDescent="0.25"/>
    <row r="7096" s="1" customFormat="1" ht="15" x14ac:dyDescent="0.25"/>
    <row r="7097" s="1" customFormat="1" ht="15" x14ac:dyDescent="0.25"/>
    <row r="7098" s="1" customFormat="1" ht="15" x14ac:dyDescent="0.25"/>
    <row r="7099" s="1" customFormat="1" ht="15" x14ac:dyDescent="0.25"/>
    <row r="7100" s="1" customFormat="1" ht="15" x14ac:dyDescent="0.25"/>
    <row r="7101" s="1" customFormat="1" ht="15" x14ac:dyDescent="0.25"/>
    <row r="7102" s="1" customFormat="1" ht="15" x14ac:dyDescent="0.25"/>
    <row r="7103" s="1" customFormat="1" ht="15" x14ac:dyDescent="0.25"/>
    <row r="7104" s="1" customFormat="1" ht="15" x14ac:dyDescent="0.25"/>
    <row r="7105" s="1" customFormat="1" ht="15" x14ac:dyDescent="0.25"/>
    <row r="7106" s="1" customFormat="1" ht="15" x14ac:dyDescent="0.25"/>
    <row r="7107" s="1" customFormat="1" ht="15" x14ac:dyDescent="0.25"/>
    <row r="7108" s="1" customFormat="1" ht="15" x14ac:dyDescent="0.25"/>
    <row r="7109" s="1" customFormat="1" ht="15" x14ac:dyDescent="0.25"/>
    <row r="7110" s="1" customFormat="1" ht="15" x14ac:dyDescent="0.25"/>
    <row r="7111" s="1" customFormat="1" ht="15" x14ac:dyDescent="0.25"/>
    <row r="7112" s="1" customFormat="1" ht="15" x14ac:dyDescent="0.25"/>
    <row r="7113" s="1" customFormat="1" ht="15" x14ac:dyDescent="0.25"/>
    <row r="7114" s="1" customFormat="1" ht="15" x14ac:dyDescent="0.25"/>
    <row r="7115" s="1" customFormat="1" ht="15" x14ac:dyDescent="0.25"/>
    <row r="7116" s="1" customFormat="1" ht="15" x14ac:dyDescent="0.25"/>
    <row r="7117" s="1" customFormat="1" ht="15" x14ac:dyDescent="0.25"/>
    <row r="7118" s="1" customFormat="1" ht="15" x14ac:dyDescent="0.25"/>
    <row r="7119" s="1" customFormat="1" ht="15" x14ac:dyDescent="0.25"/>
    <row r="7120" s="1" customFormat="1" ht="15" x14ac:dyDescent="0.25"/>
    <row r="7121" s="1" customFormat="1" ht="15" x14ac:dyDescent="0.25"/>
    <row r="7122" s="1" customFormat="1" ht="15" x14ac:dyDescent="0.25"/>
    <row r="7123" s="1" customFormat="1" ht="15" x14ac:dyDescent="0.25"/>
    <row r="7124" s="1" customFormat="1" ht="15" x14ac:dyDescent="0.25"/>
    <row r="7125" s="1" customFormat="1" ht="15" x14ac:dyDescent="0.25"/>
    <row r="7126" s="1" customFormat="1" ht="15" x14ac:dyDescent="0.25"/>
    <row r="7127" s="1" customFormat="1" ht="15" x14ac:dyDescent="0.25"/>
    <row r="7128" s="1" customFormat="1" ht="15" x14ac:dyDescent="0.25"/>
    <row r="7129" s="1" customFormat="1" ht="15" x14ac:dyDescent="0.25"/>
    <row r="7130" s="1" customFormat="1" ht="15" x14ac:dyDescent="0.25"/>
    <row r="7131" s="1" customFormat="1" ht="15" x14ac:dyDescent="0.25"/>
    <row r="7132" s="1" customFormat="1" ht="15" x14ac:dyDescent="0.25"/>
    <row r="7133" s="1" customFormat="1" ht="15" x14ac:dyDescent="0.25"/>
    <row r="7134" s="1" customFormat="1" ht="15" x14ac:dyDescent="0.25"/>
    <row r="7135" s="1" customFormat="1" ht="15" x14ac:dyDescent="0.25"/>
    <row r="7136" s="1" customFormat="1" ht="15" x14ac:dyDescent="0.25"/>
    <row r="7137" s="1" customFormat="1" ht="15" x14ac:dyDescent="0.25"/>
    <row r="7138" s="1" customFormat="1" ht="15" x14ac:dyDescent="0.25"/>
    <row r="7139" s="1" customFormat="1" ht="15" x14ac:dyDescent="0.25"/>
    <row r="7140" s="1" customFormat="1" ht="15" x14ac:dyDescent="0.25"/>
    <row r="7141" s="1" customFormat="1" ht="15" x14ac:dyDescent="0.25"/>
    <row r="7142" s="1" customFormat="1" ht="15" x14ac:dyDescent="0.25"/>
    <row r="7143" s="1" customFormat="1" ht="15" x14ac:dyDescent="0.25"/>
    <row r="7144" s="1" customFormat="1" ht="15" x14ac:dyDescent="0.25"/>
    <row r="7145" s="1" customFormat="1" ht="15" x14ac:dyDescent="0.25"/>
    <row r="7146" s="1" customFormat="1" ht="15" x14ac:dyDescent="0.25"/>
    <row r="7147" s="1" customFormat="1" ht="15" x14ac:dyDescent="0.25"/>
    <row r="7148" s="1" customFormat="1" ht="15" x14ac:dyDescent="0.25"/>
    <row r="7149" s="1" customFormat="1" ht="15" x14ac:dyDescent="0.25"/>
    <row r="7150" s="1" customFormat="1" ht="15" x14ac:dyDescent="0.25"/>
    <row r="7151" s="1" customFormat="1" ht="15" x14ac:dyDescent="0.25"/>
    <row r="7152" s="1" customFormat="1" ht="15" x14ac:dyDescent="0.25"/>
    <row r="7153" s="1" customFormat="1" ht="15" x14ac:dyDescent="0.25"/>
    <row r="7154" s="1" customFormat="1" ht="15" x14ac:dyDescent="0.25"/>
    <row r="7155" s="1" customFormat="1" ht="15" x14ac:dyDescent="0.25"/>
    <row r="7156" s="1" customFormat="1" ht="15" x14ac:dyDescent="0.25"/>
    <row r="7157" s="1" customFormat="1" ht="15" x14ac:dyDescent="0.25"/>
    <row r="7158" s="1" customFormat="1" ht="15" x14ac:dyDescent="0.25"/>
    <row r="7159" s="1" customFormat="1" ht="15" x14ac:dyDescent="0.25"/>
    <row r="7160" s="1" customFormat="1" ht="15" x14ac:dyDescent="0.25"/>
    <row r="7161" s="1" customFormat="1" ht="15" x14ac:dyDescent="0.25"/>
    <row r="7162" s="1" customFormat="1" ht="15" x14ac:dyDescent="0.25"/>
    <row r="7163" s="1" customFormat="1" ht="15" x14ac:dyDescent="0.25"/>
    <row r="7164" s="1" customFormat="1" ht="15" x14ac:dyDescent="0.25"/>
    <row r="7165" s="1" customFormat="1" ht="15" x14ac:dyDescent="0.25"/>
    <row r="7166" s="1" customFormat="1" ht="15" x14ac:dyDescent="0.25"/>
    <row r="7167" s="1" customFormat="1" ht="15" x14ac:dyDescent="0.25"/>
    <row r="7168" s="1" customFormat="1" ht="15" x14ac:dyDescent="0.25"/>
    <row r="7169" s="1" customFormat="1" ht="15" x14ac:dyDescent="0.25"/>
    <row r="7170" s="1" customFormat="1" ht="15" x14ac:dyDescent="0.25"/>
    <row r="7171" s="1" customFormat="1" ht="15" x14ac:dyDescent="0.25"/>
    <row r="7172" s="1" customFormat="1" ht="15" x14ac:dyDescent="0.25"/>
    <row r="7173" s="1" customFormat="1" ht="15" x14ac:dyDescent="0.25"/>
    <row r="7174" s="1" customFormat="1" ht="15" x14ac:dyDescent="0.25"/>
    <row r="7175" s="1" customFormat="1" ht="15" x14ac:dyDescent="0.25"/>
    <row r="7176" s="1" customFormat="1" ht="15" x14ac:dyDescent="0.25"/>
    <row r="7177" s="1" customFormat="1" ht="15" x14ac:dyDescent="0.25"/>
    <row r="7178" s="1" customFormat="1" ht="15" x14ac:dyDescent="0.25"/>
    <row r="7179" s="1" customFormat="1" ht="15" x14ac:dyDescent="0.25"/>
    <row r="7180" s="1" customFormat="1" ht="15" x14ac:dyDescent="0.25"/>
    <row r="7181" s="1" customFormat="1" ht="15" x14ac:dyDescent="0.25"/>
    <row r="7182" s="1" customFormat="1" ht="15" x14ac:dyDescent="0.25"/>
    <row r="7183" s="1" customFormat="1" ht="15" x14ac:dyDescent="0.25"/>
    <row r="7184" s="1" customFormat="1" ht="15" x14ac:dyDescent="0.25"/>
    <row r="7185" s="1" customFormat="1" ht="15" x14ac:dyDescent="0.25"/>
    <row r="7186" s="1" customFormat="1" ht="15" x14ac:dyDescent="0.25"/>
    <row r="7187" s="1" customFormat="1" ht="15" x14ac:dyDescent="0.25"/>
    <row r="7188" s="1" customFormat="1" ht="15" x14ac:dyDescent="0.25"/>
    <row r="7189" s="1" customFormat="1" ht="15" x14ac:dyDescent="0.25"/>
    <row r="7190" s="1" customFormat="1" ht="15" x14ac:dyDescent="0.25"/>
    <row r="7191" s="1" customFormat="1" ht="15" x14ac:dyDescent="0.25"/>
    <row r="7192" s="1" customFormat="1" ht="15" x14ac:dyDescent="0.25"/>
    <row r="7193" s="1" customFormat="1" ht="15" x14ac:dyDescent="0.25"/>
    <row r="7194" s="1" customFormat="1" ht="15" x14ac:dyDescent="0.25"/>
    <row r="7195" s="1" customFormat="1" ht="15" x14ac:dyDescent="0.25"/>
    <row r="7196" s="1" customFormat="1" ht="15" x14ac:dyDescent="0.25"/>
    <row r="7197" s="1" customFormat="1" ht="15" x14ac:dyDescent="0.25"/>
    <row r="7198" s="1" customFormat="1" ht="15" x14ac:dyDescent="0.25"/>
    <row r="7199" s="1" customFormat="1" ht="15" x14ac:dyDescent="0.25"/>
    <row r="7200" s="1" customFormat="1" ht="15" x14ac:dyDescent="0.25"/>
    <row r="7201" s="1" customFormat="1" ht="15" x14ac:dyDescent="0.25"/>
    <row r="7202" s="1" customFormat="1" ht="15" x14ac:dyDescent="0.25"/>
    <row r="7203" s="1" customFormat="1" ht="15" x14ac:dyDescent="0.25"/>
    <row r="7204" s="1" customFormat="1" ht="15" x14ac:dyDescent="0.25"/>
    <row r="7205" s="1" customFormat="1" ht="15" x14ac:dyDescent="0.25"/>
    <row r="7206" s="1" customFormat="1" ht="15" x14ac:dyDescent="0.25"/>
    <row r="7207" s="1" customFormat="1" ht="15" x14ac:dyDescent="0.25"/>
    <row r="7208" s="1" customFormat="1" ht="15" x14ac:dyDescent="0.25"/>
    <row r="7209" s="1" customFormat="1" ht="15" x14ac:dyDescent="0.25"/>
    <row r="7210" s="1" customFormat="1" ht="15" x14ac:dyDescent="0.25"/>
    <row r="7211" s="1" customFormat="1" ht="15" x14ac:dyDescent="0.25"/>
    <row r="7212" s="1" customFormat="1" ht="15" x14ac:dyDescent="0.25"/>
    <row r="7213" s="1" customFormat="1" ht="15" x14ac:dyDescent="0.25"/>
    <row r="7214" s="1" customFormat="1" ht="15" x14ac:dyDescent="0.25"/>
    <row r="7215" s="1" customFormat="1" ht="15" x14ac:dyDescent="0.25"/>
    <row r="7216" s="1" customFormat="1" ht="15" x14ac:dyDescent="0.25"/>
    <row r="7217" s="1" customFormat="1" ht="15" x14ac:dyDescent="0.25"/>
    <row r="7218" s="1" customFormat="1" ht="15" x14ac:dyDescent="0.25"/>
    <row r="7219" s="1" customFormat="1" ht="15" x14ac:dyDescent="0.25"/>
    <row r="7220" s="1" customFormat="1" ht="15" x14ac:dyDescent="0.25"/>
    <row r="7221" s="1" customFormat="1" ht="15" x14ac:dyDescent="0.25"/>
    <row r="7222" s="1" customFormat="1" ht="15" x14ac:dyDescent="0.25"/>
    <row r="7223" s="1" customFormat="1" ht="15" x14ac:dyDescent="0.25"/>
    <row r="7224" s="1" customFormat="1" ht="15" x14ac:dyDescent="0.25"/>
    <row r="7225" s="1" customFormat="1" ht="15" x14ac:dyDescent="0.25"/>
    <row r="7226" s="1" customFormat="1" ht="15" x14ac:dyDescent="0.25"/>
    <row r="7227" s="1" customFormat="1" ht="15" x14ac:dyDescent="0.25"/>
    <row r="7228" s="1" customFormat="1" ht="15" x14ac:dyDescent="0.25"/>
    <row r="7229" s="1" customFormat="1" ht="15" x14ac:dyDescent="0.25"/>
    <row r="7230" s="1" customFormat="1" ht="15" x14ac:dyDescent="0.25"/>
    <row r="7231" s="1" customFormat="1" ht="15" x14ac:dyDescent="0.25"/>
    <row r="7232" s="1" customFormat="1" ht="15" x14ac:dyDescent="0.25"/>
    <row r="7233" s="1" customFormat="1" ht="15" x14ac:dyDescent="0.25"/>
    <row r="7234" s="1" customFormat="1" ht="15" x14ac:dyDescent="0.25"/>
    <row r="7235" s="1" customFormat="1" ht="15" x14ac:dyDescent="0.25"/>
    <row r="7236" s="1" customFormat="1" ht="15" x14ac:dyDescent="0.25"/>
    <row r="7237" s="1" customFormat="1" ht="15" x14ac:dyDescent="0.25"/>
    <row r="7238" s="1" customFormat="1" ht="15" x14ac:dyDescent="0.25"/>
    <row r="7239" s="1" customFormat="1" ht="15" x14ac:dyDescent="0.25"/>
    <row r="7240" s="1" customFormat="1" ht="15" x14ac:dyDescent="0.25"/>
    <row r="7241" s="1" customFormat="1" ht="15" x14ac:dyDescent="0.25"/>
    <row r="7242" s="1" customFormat="1" ht="15" x14ac:dyDescent="0.25"/>
    <row r="7243" s="1" customFormat="1" ht="15" x14ac:dyDescent="0.25"/>
    <row r="7244" s="1" customFormat="1" ht="15" x14ac:dyDescent="0.25"/>
    <row r="7245" s="1" customFormat="1" ht="15" x14ac:dyDescent="0.25"/>
    <row r="7246" s="1" customFormat="1" ht="15" x14ac:dyDescent="0.25"/>
    <row r="7247" s="1" customFormat="1" ht="15" x14ac:dyDescent="0.25"/>
    <row r="7248" s="1" customFormat="1" ht="15" x14ac:dyDescent="0.25"/>
    <row r="7249" s="1" customFormat="1" ht="15" x14ac:dyDescent="0.25"/>
    <row r="7250" s="1" customFormat="1" ht="15" x14ac:dyDescent="0.25"/>
    <row r="7251" s="1" customFormat="1" ht="15" x14ac:dyDescent="0.25"/>
    <row r="7252" s="1" customFormat="1" ht="15" x14ac:dyDescent="0.25"/>
    <row r="7253" s="1" customFormat="1" ht="15" x14ac:dyDescent="0.25"/>
    <row r="7254" s="1" customFormat="1" ht="15" x14ac:dyDescent="0.25"/>
    <row r="7255" s="1" customFormat="1" ht="15" x14ac:dyDescent="0.25"/>
    <row r="7256" s="1" customFormat="1" ht="15" x14ac:dyDescent="0.25"/>
    <row r="7257" s="1" customFormat="1" ht="15" x14ac:dyDescent="0.25"/>
    <row r="7258" s="1" customFormat="1" ht="15" x14ac:dyDescent="0.25"/>
    <row r="7259" s="1" customFormat="1" ht="15" x14ac:dyDescent="0.25"/>
    <row r="7260" s="1" customFormat="1" ht="15" x14ac:dyDescent="0.25"/>
    <row r="7261" s="1" customFormat="1" ht="15" x14ac:dyDescent="0.25"/>
    <row r="7262" s="1" customFormat="1" ht="15" x14ac:dyDescent="0.25"/>
    <row r="7263" s="1" customFormat="1" ht="15" x14ac:dyDescent="0.25"/>
    <row r="7264" s="1" customFormat="1" ht="15" x14ac:dyDescent="0.25"/>
    <row r="7265" s="1" customFormat="1" ht="15" x14ac:dyDescent="0.25"/>
    <row r="7266" s="1" customFormat="1" ht="15" x14ac:dyDescent="0.25"/>
    <row r="7267" s="1" customFormat="1" ht="15" x14ac:dyDescent="0.25"/>
    <row r="7268" s="1" customFormat="1" ht="15" x14ac:dyDescent="0.25"/>
    <row r="7269" s="1" customFormat="1" ht="15" x14ac:dyDescent="0.25"/>
    <row r="7270" s="1" customFormat="1" ht="15" x14ac:dyDescent="0.25"/>
    <row r="7271" s="1" customFormat="1" ht="15" x14ac:dyDescent="0.25"/>
    <row r="7272" s="1" customFormat="1" ht="15" x14ac:dyDescent="0.25"/>
    <row r="7273" s="1" customFormat="1" ht="15" x14ac:dyDescent="0.25"/>
    <row r="7274" s="1" customFormat="1" ht="15" x14ac:dyDescent="0.25"/>
    <row r="7275" s="1" customFormat="1" ht="15" x14ac:dyDescent="0.25"/>
    <row r="7276" s="1" customFormat="1" ht="15" x14ac:dyDescent="0.25"/>
    <row r="7277" s="1" customFormat="1" ht="15" x14ac:dyDescent="0.25"/>
    <row r="7278" s="1" customFormat="1" ht="15" x14ac:dyDescent="0.25"/>
    <row r="7279" s="1" customFormat="1" ht="15" x14ac:dyDescent="0.25"/>
    <row r="7280" s="1" customFormat="1" ht="15" x14ac:dyDescent="0.25"/>
    <row r="7281" s="1" customFormat="1" ht="15" x14ac:dyDescent="0.25"/>
    <row r="7282" s="1" customFormat="1" ht="15" x14ac:dyDescent="0.25"/>
    <row r="7283" s="1" customFormat="1" ht="15" x14ac:dyDescent="0.25"/>
    <row r="7284" s="1" customFormat="1" ht="15" x14ac:dyDescent="0.25"/>
    <row r="7285" s="1" customFormat="1" ht="15" x14ac:dyDescent="0.25"/>
    <row r="7286" s="1" customFormat="1" ht="15" x14ac:dyDescent="0.25"/>
    <row r="7287" s="1" customFormat="1" ht="15" x14ac:dyDescent="0.25"/>
    <row r="7288" s="1" customFormat="1" ht="15" x14ac:dyDescent="0.25"/>
    <row r="7289" s="1" customFormat="1" ht="15" x14ac:dyDescent="0.25"/>
    <row r="7290" s="1" customFormat="1" ht="15" x14ac:dyDescent="0.25"/>
    <row r="7291" s="1" customFormat="1" ht="15" x14ac:dyDescent="0.25"/>
    <row r="7292" s="1" customFormat="1" ht="15" x14ac:dyDescent="0.25"/>
    <row r="7293" s="1" customFormat="1" ht="15" x14ac:dyDescent="0.25"/>
    <row r="7294" s="1" customFormat="1" ht="15" x14ac:dyDescent="0.25"/>
    <row r="7295" s="1" customFormat="1" ht="15" x14ac:dyDescent="0.25"/>
    <row r="7296" s="1" customFormat="1" ht="15" x14ac:dyDescent="0.25"/>
    <row r="7297" s="1" customFormat="1" ht="15" x14ac:dyDescent="0.25"/>
    <row r="7298" s="1" customFormat="1" ht="15" x14ac:dyDescent="0.25"/>
    <row r="7299" s="1" customFormat="1" ht="15" x14ac:dyDescent="0.25"/>
    <row r="7300" s="1" customFormat="1" ht="15" x14ac:dyDescent="0.25"/>
    <row r="7301" s="1" customFormat="1" ht="15" x14ac:dyDescent="0.25"/>
    <row r="7302" s="1" customFormat="1" ht="15" x14ac:dyDescent="0.25"/>
    <row r="7303" s="1" customFormat="1" ht="15" x14ac:dyDescent="0.25"/>
    <row r="7304" s="1" customFormat="1" ht="15" x14ac:dyDescent="0.25"/>
    <row r="7305" s="1" customFormat="1" ht="15" x14ac:dyDescent="0.25"/>
    <row r="7306" s="1" customFormat="1" ht="15" x14ac:dyDescent="0.25"/>
    <row r="7307" s="1" customFormat="1" ht="15" x14ac:dyDescent="0.25"/>
    <row r="7308" s="1" customFormat="1" ht="15" x14ac:dyDescent="0.25"/>
    <row r="7309" s="1" customFormat="1" ht="15" x14ac:dyDescent="0.25"/>
    <row r="7310" s="1" customFormat="1" ht="15" x14ac:dyDescent="0.25"/>
    <row r="7311" s="1" customFormat="1" ht="15" x14ac:dyDescent="0.25"/>
    <row r="7312" s="1" customFormat="1" ht="15" x14ac:dyDescent="0.25"/>
    <row r="7313" s="1" customFormat="1" ht="15" x14ac:dyDescent="0.25"/>
    <row r="7314" s="1" customFormat="1" ht="15" x14ac:dyDescent="0.25"/>
    <row r="7315" s="1" customFormat="1" ht="15" x14ac:dyDescent="0.25"/>
    <row r="7316" s="1" customFormat="1" ht="15" x14ac:dyDescent="0.25"/>
    <row r="7317" s="1" customFormat="1" ht="15" x14ac:dyDescent="0.25"/>
    <row r="7318" s="1" customFormat="1" ht="15" x14ac:dyDescent="0.25"/>
    <row r="7319" s="1" customFormat="1" ht="15" x14ac:dyDescent="0.25"/>
    <row r="7320" s="1" customFormat="1" ht="15" x14ac:dyDescent="0.25"/>
    <row r="7321" s="1" customFormat="1" ht="15" x14ac:dyDescent="0.25"/>
    <row r="7322" s="1" customFormat="1" ht="15" x14ac:dyDescent="0.25"/>
    <row r="7323" s="1" customFormat="1" ht="15" x14ac:dyDescent="0.25"/>
    <row r="7324" s="1" customFormat="1" ht="15" x14ac:dyDescent="0.25"/>
    <row r="7325" s="1" customFormat="1" ht="15" x14ac:dyDescent="0.25"/>
    <row r="7326" s="1" customFormat="1" ht="15" x14ac:dyDescent="0.25"/>
    <row r="7327" s="1" customFormat="1" ht="15" x14ac:dyDescent="0.25"/>
    <row r="7328" s="1" customFormat="1" ht="15" x14ac:dyDescent="0.25"/>
    <row r="7329" s="1" customFormat="1" ht="15" x14ac:dyDescent="0.25"/>
    <row r="7330" s="1" customFormat="1" ht="15" x14ac:dyDescent="0.25"/>
    <row r="7331" s="1" customFormat="1" ht="15" x14ac:dyDescent="0.25"/>
    <row r="7332" s="1" customFormat="1" ht="15" x14ac:dyDescent="0.25"/>
    <row r="7333" s="1" customFormat="1" ht="15" x14ac:dyDescent="0.25"/>
    <row r="7334" s="1" customFormat="1" ht="15" x14ac:dyDescent="0.25"/>
    <row r="7335" s="1" customFormat="1" ht="15" x14ac:dyDescent="0.25"/>
    <row r="7336" s="1" customFormat="1" ht="15" x14ac:dyDescent="0.25"/>
    <row r="7337" s="1" customFormat="1" ht="15" x14ac:dyDescent="0.25"/>
    <row r="7338" s="1" customFormat="1" ht="15" x14ac:dyDescent="0.25"/>
    <row r="7339" s="1" customFormat="1" ht="15" x14ac:dyDescent="0.25"/>
    <row r="7340" s="1" customFormat="1" ht="15" x14ac:dyDescent="0.25"/>
    <row r="7341" s="1" customFormat="1" ht="15" x14ac:dyDescent="0.25"/>
    <row r="7342" s="1" customFormat="1" ht="15" x14ac:dyDescent="0.25"/>
    <row r="7343" s="1" customFormat="1" ht="15" x14ac:dyDescent="0.25"/>
    <row r="7344" s="1" customFormat="1" ht="15" x14ac:dyDescent="0.25"/>
    <row r="7345" s="1" customFormat="1" ht="15" x14ac:dyDescent="0.25"/>
    <row r="7346" s="1" customFormat="1" ht="15" x14ac:dyDescent="0.25"/>
    <row r="7347" s="1" customFormat="1" ht="15" x14ac:dyDescent="0.25"/>
    <row r="7348" s="1" customFormat="1" ht="15" x14ac:dyDescent="0.25"/>
    <row r="7349" s="1" customFormat="1" ht="15" x14ac:dyDescent="0.25"/>
    <row r="7350" s="1" customFormat="1" ht="15" x14ac:dyDescent="0.25"/>
    <row r="7351" s="1" customFormat="1" ht="15" x14ac:dyDescent="0.25"/>
    <row r="7352" s="1" customFormat="1" ht="15" x14ac:dyDescent="0.25"/>
    <row r="7353" s="1" customFormat="1" ht="15" x14ac:dyDescent="0.25"/>
    <row r="7354" s="1" customFormat="1" ht="15" x14ac:dyDescent="0.25"/>
    <row r="7355" s="1" customFormat="1" ht="15" x14ac:dyDescent="0.25"/>
    <row r="7356" s="1" customFormat="1" ht="15" x14ac:dyDescent="0.25"/>
    <row r="7357" s="1" customFormat="1" ht="15" x14ac:dyDescent="0.25"/>
    <row r="7358" s="1" customFormat="1" ht="15" x14ac:dyDescent="0.25"/>
    <row r="7359" s="1" customFormat="1" ht="15" x14ac:dyDescent="0.25"/>
    <row r="7360" s="1" customFormat="1" ht="15" x14ac:dyDescent="0.25"/>
    <row r="7361" s="1" customFormat="1" ht="15" x14ac:dyDescent="0.25"/>
    <row r="7362" s="1" customFormat="1" ht="15" x14ac:dyDescent="0.25"/>
    <row r="7363" s="1" customFormat="1" ht="15" x14ac:dyDescent="0.25"/>
    <row r="7364" s="1" customFormat="1" ht="15" x14ac:dyDescent="0.25"/>
    <row r="7365" s="1" customFormat="1" ht="15" x14ac:dyDescent="0.25"/>
    <row r="7366" s="1" customFormat="1" ht="15" x14ac:dyDescent="0.25"/>
    <row r="7367" s="1" customFormat="1" ht="15" x14ac:dyDescent="0.25"/>
    <row r="7368" s="1" customFormat="1" ht="15" x14ac:dyDescent="0.25"/>
    <row r="7369" s="1" customFormat="1" ht="15" x14ac:dyDescent="0.25"/>
    <row r="7370" s="1" customFormat="1" ht="15" x14ac:dyDescent="0.25"/>
    <row r="7371" s="1" customFormat="1" ht="15" x14ac:dyDescent="0.25"/>
    <row r="7372" s="1" customFormat="1" ht="15" x14ac:dyDescent="0.25"/>
    <row r="7373" s="1" customFormat="1" ht="15" x14ac:dyDescent="0.25"/>
    <row r="7374" s="1" customFormat="1" ht="15" x14ac:dyDescent="0.25"/>
    <row r="7375" s="1" customFormat="1" ht="15" x14ac:dyDescent="0.25"/>
    <row r="7376" s="1" customFormat="1" ht="15" x14ac:dyDescent="0.25"/>
    <row r="7377" s="1" customFormat="1" ht="15" x14ac:dyDescent="0.25"/>
    <row r="7378" s="1" customFormat="1" ht="15" x14ac:dyDescent="0.25"/>
    <row r="7379" s="1" customFormat="1" ht="15" x14ac:dyDescent="0.25"/>
    <row r="7380" s="1" customFormat="1" ht="15" x14ac:dyDescent="0.25"/>
    <row r="7381" s="1" customFormat="1" ht="15" x14ac:dyDescent="0.25"/>
    <row r="7382" s="1" customFormat="1" ht="15" x14ac:dyDescent="0.25"/>
    <row r="7383" s="1" customFormat="1" ht="15" x14ac:dyDescent="0.25"/>
    <row r="7384" s="1" customFormat="1" ht="15" x14ac:dyDescent="0.25"/>
    <row r="7385" s="1" customFormat="1" ht="15" x14ac:dyDescent="0.25"/>
    <row r="7386" s="1" customFormat="1" ht="15" x14ac:dyDescent="0.25"/>
    <row r="7387" s="1" customFormat="1" ht="15" x14ac:dyDescent="0.25"/>
    <row r="7388" s="1" customFormat="1" ht="15" x14ac:dyDescent="0.25"/>
    <row r="7389" s="1" customFormat="1" ht="15" x14ac:dyDescent="0.25"/>
    <row r="7390" s="1" customFormat="1" ht="15" x14ac:dyDescent="0.25"/>
    <row r="7391" s="1" customFormat="1" ht="15" x14ac:dyDescent="0.25"/>
    <row r="7392" s="1" customFormat="1" ht="15" x14ac:dyDescent="0.25"/>
    <row r="7393" s="1" customFormat="1" ht="15" x14ac:dyDescent="0.25"/>
    <row r="7394" s="1" customFormat="1" ht="15" x14ac:dyDescent="0.25"/>
    <row r="7395" s="1" customFormat="1" ht="15" x14ac:dyDescent="0.25"/>
    <row r="7396" s="1" customFormat="1" ht="15" x14ac:dyDescent="0.25"/>
    <row r="7397" s="1" customFormat="1" ht="15" x14ac:dyDescent="0.25"/>
    <row r="7398" s="1" customFormat="1" ht="15" x14ac:dyDescent="0.25"/>
    <row r="7399" s="1" customFormat="1" ht="15" x14ac:dyDescent="0.25"/>
    <row r="7400" s="1" customFormat="1" ht="15" x14ac:dyDescent="0.25"/>
    <row r="7401" s="1" customFormat="1" ht="15" x14ac:dyDescent="0.25"/>
    <row r="7402" s="1" customFormat="1" ht="15" x14ac:dyDescent="0.25"/>
    <row r="7403" s="1" customFormat="1" ht="15" x14ac:dyDescent="0.25"/>
    <row r="7404" s="1" customFormat="1" ht="15" x14ac:dyDescent="0.25"/>
    <row r="7405" s="1" customFormat="1" ht="15" x14ac:dyDescent="0.25"/>
    <row r="7406" s="1" customFormat="1" ht="15" x14ac:dyDescent="0.25"/>
    <row r="7407" s="1" customFormat="1" ht="15" x14ac:dyDescent="0.25"/>
    <row r="7408" s="1" customFormat="1" ht="15" x14ac:dyDescent="0.25"/>
    <row r="7409" s="1" customFormat="1" ht="15" x14ac:dyDescent="0.25"/>
    <row r="7410" s="1" customFormat="1" ht="15" x14ac:dyDescent="0.25"/>
    <row r="7411" s="1" customFormat="1" ht="15" x14ac:dyDescent="0.25"/>
    <row r="7412" s="1" customFormat="1" ht="15" x14ac:dyDescent="0.25"/>
    <row r="7413" s="1" customFormat="1" ht="15" x14ac:dyDescent="0.25"/>
    <row r="7414" s="1" customFormat="1" ht="15" x14ac:dyDescent="0.25"/>
    <row r="7415" s="1" customFormat="1" ht="15" x14ac:dyDescent="0.25"/>
    <row r="7416" s="1" customFormat="1" ht="15" x14ac:dyDescent="0.25"/>
    <row r="7417" s="1" customFormat="1" ht="15" x14ac:dyDescent="0.25"/>
    <row r="7418" s="1" customFormat="1" ht="15" x14ac:dyDescent="0.25"/>
    <row r="7419" s="1" customFormat="1" ht="15" x14ac:dyDescent="0.25"/>
    <row r="7420" s="1" customFormat="1" ht="15" x14ac:dyDescent="0.25"/>
    <row r="7421" s="1" customFormat="1" ht="15" x14ac:dyDescent="0.25"/>
    <row r="7422" s="1" customFormat="1" ht="15" x14ac:dyDescent="0.25"/>
    <row r="7423" s="1" customFormat="1" ht="15" x14ac:dyDescent="0.25"/>
    <row r="7424" s="1" customFormat="1" ht="15" x14ac:dyDescent="0.25"/>
    <row r="7425" s="1" customFormat="1" ht="15" x14ac:dyDescent="0.25"/>
    <row r="7426" s="1" customFormat="1" ht="15" x14ac:dyDescent="0.25"/>
    <row r="7427" s="1" customFormat="1" ht="15" x14ac:dyDescent="0.25"/>
    <row r="7428" s="1" customFormat="1" ht="15" x14ac:dyDescent="0.25"/>
    <row r="7429" s="1" customFormat="1" ht="15" x14ac:dyDescent="0.25"/>
    <row r="7430" s="1" customFormat="1" ht="15" x14ac:dyDescent="0.25"/>
    <row r="7431" s="1" customFormat="1" ht="15" x14ac:dyDescent="0.25"/>
    <row r="7432" s="1" customFormat="1" ht="15" x14ac:dyDescent="0.25"/>
    <row r="7433" s="1" customFormat="1" ht="15" x14ac:dyDescent="0.25"/>
    <row r="7434" s="1" customFormat="1" ht="15" x14ac:dyDescent="0.25"/>
    <row r="7435" s="1" customFormat="1" ht="15" x14ac:dyDescent="0.25"/>
    <row r="7436" s="1" customFormat="1" ht="15" x14ac:dyDescent="0.25"/>
    <row r="7437" s="1" customFormat="1" ht="15" x14ac:dyDescent="0.25"/>
    <row r="7438" s="1" customFormat="1" ht="15" x14ac:dyDescent="0.25"/>
    <row r="7439" s="1" customFormat="1" ht="15" x14ac:dyDescent="0.25"/>
    <row r="7440" s="1" customFormat="1" ht="15" x14ac:dyDescent="0.25"/>
    <row r="7441" s="1" customFormat="1" ht="15" x14ac:dyDescent="0.25"/>
    <row r="7442" s="1" customFormat="1" ht="15" x14ac:dyDescent="0.25"/>
    <row r="7443" s="1" customFormat="1" ht="15" x14ac:dyDescent="0.25"/>
    <row r="7444" s="1" customFormat="1" ht="15" x14ac:dyDescent="0.25"/>
    <row r="7445" s="1" customFormat="1" ht="15" x14ac:dyDescent="0.25"/>
    <row r="7446" s="1" customFormat="1" ht="15" x14ac:dyDescent="0.25"/>
    <row r="7447" s="1" customFormat="1" ht="15" x14ac:dyDescent="0.25"/>
    <row r="7448" s="1" customFormat="1" ht="15" x14ac:dyDescent="0.25"/>
    <row r="7449" s="1" customFormat="1" ht="15" x14ac:dyDescent="0.25"/>
    <row r="7450" s="1" customFormat="1" ht="15" x14ac:dyDescent="0.25"/>
    <row r="7451" s="1" customFormat="1" ht="15" x14ac:dyDescent="0.25"/>
    <row r="7452" s="1" customFormat="1" ht="15" x14ac:dyDescent="0.25"/>
    <row r="7453" s="1" customFormat="1" ht="15" x14ac:dyDescent="0.25"/>
    <row r="7454" s="1" customFormat="1" ht="15" x14ac:dyDescent="0.25"/>
    <row r="7455" s="1" customFormat="1" ht="15" x14ac:dyDescent="0.25"/>
    <row r="7456" s="1" customFormat="1" ht="15" x14ac:dyDescent="0.25"/>
    <row r="7457" s="1" customFormat="1" ht="15" x14ac:dyDescent="0.25"/>
    <row r="7458" s="1" customFormat="1" ht="15" x14ac:dyDescent="0.25"/>
    <row r="7459" s="1" customFormat="1" ht="15" x14ac:dyDescent="0.25"/>
    <row r="7460" s="1" customFormat="1" ht="15" x14ac:dyDescent="0.25"/>
    <row r="7461" s="1" customFormat="1" ht="15" x14ac:dyDescent="0.25"/>
    <row r="7462" s="1" customFormat="1" ht="15" x14ac:dyDescent="0.25"/>
    <row r="7463" s="1" customFormat="1" ht="15" x14ac:dyDescent="0.25"/>
    <row r="7464" s="1" customFormat="1" ht="15" x14ac:dyDescent="0.25"/>
    <row r="7465" s="1" customFormat="1" ht="15" x14ac:dyDescent="0.25"/>
    <row r="7466" s="1" customFormat="1" ht="15" x14ac:dyDescent="0.25"/>
    <row r="7467" s="1" customFormat="1" ht="15" x14ac:dyDescent="0.25"/>
    <row r="7468" s="1" customFormat="1" ht="15" x14ac:dyDescent="0.25"/>
    <row r="7469" s="1" customFormat="1" ht="15" x14ac:dyDescent="0.25"/>
    <row r="7470" s="1" customFormat="1" ht="15" x14ac:dyDescent="0.25"/>
    <row r="7471" s="1" customFormat="1" ht="15" x14ac:dyDescent="0.25"/>
    <row r="7472" s="1" customFormat="1" ht="15" x14ac:dyDescent="0.25"/>
    <row r="7473" s="1" customFormat="1" ht="15" x14ac:dyDescent="0.25"/>
    <row r="7474" s="1" customFormat="1" ht="15" x14ac:dyDescent="0.25"/>
    <row r="7475" s="1" customFormat="1" ht="15" x14ac:dyDescent="0.25"/>
    <row r="7476" s="1" customFormat="1" ht="15" x14ac:dyDescent="0.25"/>
    <row r="7477" s="1" customFormat="1" ht="15" x14ac:dyDescent="0.25"/>
    <row r="7478" s="1" customFormat="1" ht="15" x14ac:dyDescent="0.25"/>
    <row r="7479" s="1" customFormat="1" ht="15" x14ac:dyDescent="0.25"/>
    <row r="7480" s="1" customFormat="1" ht="15" x14ac:dyDescent="0.25"/>
    <row r="7481" s="1" customFormat="1" ht="15" x14ac:dyDescent="0.25"/>
    <row r="7482" s="1" customFormat="1" ht="15" x14ac:dyDescent="0.25"/>
    <row r="7483" s="1" customFormat="1" ht="15" x14ac:dyDescent="0.25"/>
    <row r="7484" s="1" customFormat="1" ht="15" x14ac:dyDescent="0.25"/>
    <row r="7485" s="1" customFormat="1" ht="15" x14ac:dyDescent="0.25"/>
    <row r="7486" s="1" customFormat="1" ht="15" x14ac:dyDescent="0.25"/>
    <row r="7487" s="1" customFormat="1" ht="15" x14ac:dyDescent="0.25"/>
    <row r="7488" s="1" customFormat="1" ht="15" x14ac:dyDescent="0.25"/>
    <row r="7489" s="1" customFormat="1" ht="15" x14ac:dyDescent="0.25"/>
    <row r="7490" s="1" customFormat="1" ht="15" x14ac:dyDescent="0.25"/>
    <row r="7491" s="1" customFormat="1" ht="15" x14ac:dyDescent="0.25"/>
    <row r="7492" s="1" customFormat="1" ht="15" x14ac:dyDescent="0.25"/>
    <row r="7493" s="1" customFormat="1" ht="15" x14ac:dyDescent="0.25"/>
    <row r="7494" s="1" customFormat="1" ht="15" x14ac:dyDescent="0.25"/>
    <row r="7495" s="1" customFormat="1" ht="15" x14ac:dyDescent="0.25"/>
    <row r="7496" s="1" customFormat="1" ht="15" x14ac:dyDescent="0.25"/>
    <row r="7497" s="1" customFormat="1" ht="15" x14ac:dyDescent="0.25"/>
    <row r="7498" s="1" customFormat="1" ht="15" x14ac:dyDescent="0.25"/>
    <row r="7499" s="1" customFormat="1" ht="15" x14ac:dyDescent="0.25"/>
    <row r="7500" s="1" customFormat="1" ht="15" x14ac:dyDescent="0.25"/>
    <row r="7501" s="1" customFormat="1" ht="15" x14ac:dyDescent="0.25"/>
    <row r="7502" s="1" customFormat="1" ht="15" x14ac:dyDescent="0.25"/>
    <row r="7503" s="1" customFormat="1" ht="15" x14ac:dyDescent="0.25"/>
    <row r="7504" s="1" customFormat="1" ht="15" x14ac:dyDescent="0.25"/>
    <row r="7505" s="1" customFormat="1" ht="15" x14ac:dyDescent="0.25"/>
    <row r="7506" s="1" customFormat="1" ht="15" x14ac:dyDescent="0.25"/>
    <row r="7507" s="1" customFormat="1" ht="15" x14ac:dyDescent="0.25"/>
    <row r="7508" s="1" customFormat="1" ht="15" x14ac:dyDescent="0.25"/>
    <row r="7509" s="1" customFormat="1" ht="15" x14ac:dyDescent="0.25"/>
    <row r="7510" s="1" customFormat="1" ht="15" x14ac:dyDescent="0.25"/>
    <row r="7511" s="1" customFormat="1" ht="15" x14ac:dyDescent="0.25"/>
    <row r="7512" s="1" customFormat="1" ht="15" x14ac:dyDescent="0.25"/>
    <row r="7513" s="1" customFormat="1" ht="15" x14ac:dyDescent="0.25"/>
    <row r="7514" s="1" customFormat="1" ht="15" x14ac:dyDescent="0.25"/>
    <row r="7515" s="1" customFormat="1" ht="15" x14ac:dyDescent="0.25"/>
    <row r="7516" s="1" customFormat="1" ht="15" x14ac:dyDescent="0.25"/>
    <row r="7517" s="1" customFormat="1" ht="15" x14ac:dyDescent="0.25"/>
    <row r="7518" s="1" customFormat="1" ht="15" x14ac:dyDescent="0.25"/>
    <row r="7519" s="1" customFormat="1" ht="15" x14ac:dyDescent="0.25"/>
    <row r="7520" s="1" customFormat="1" ht="15" x14ac:dyDescent="0.25"/>
    <row r="7521" s="1" customFormat="1" ht="15" x14ac:dyDescent="0.25"/>
    <row r="7522" s="1" customFormat="1" ht="15" x14ac:dyDescent="0.25"/>
    <row r="7523" s="1" customFormat="1" ht="15" x14ac:dyDescent="0.25"/>
    <row r="7524" s="1" customFormat="1" ht="15" x14ac:dyDescent="0.25"/>
    <row r="7525" s="1" customFormat="1" ht="15" x14ac:dyDescent="0.25"/>
    <row r="7526" s="1" customFormat="1" ht="15" x14ac:dyDescent="0.25"/>
    <row r="7527" s="1" customFormat="1" ht="15" x14ac:dyDescent="0.25"/>
    <row r="7528" s="1" customFormat="1" ht="15" x14ac:dyDescent="0.25"/>
    <row r="7529" s="1" customFormat="1" ht="15" x14ac:dyDescent="0.25"/>
    <row r="7530" s="1" customFormat="1" ht="15" x14ac:dyDescent="0.25"/>
    <row r="7531" s="1" customFormat="1" ht="15" x14ac:dyDescent="0.25"/>
    <row r="7532" s="1" customFormat="1" ht="15" x14ac:dyDescent="0.25"/>
    <row r="7533" s="1" customFormat="1" ht="15" x14ac:dyDescent="0.25"/>
    <row r="7534" s="1" customFormat="1" ht="15" x14ac:dyDescent="0.25"/>
    <row r="7535" s="1" customFormat="1" ht="15" x14ac:dyDescent="0.25"/>
    <row r="7536" s="1" customFormat="1" ht="15" x14ac:dyDescent="0.25"/>
    <row r="7537" s="1" customFormat="1" ht="15" x14ac:dyDescent="0.25"/>
    <row r="7538" s="1" customFormat="1" ht="15" x14ac:dyDescent="0.25"/>
    <row r="7539" s="1" customFormat="1" ht="15" x14ac:dyDescent="0.25"/>
    <row r="7540" s="1" customFormat="1" ht="15" x14ac:dyDescent="0.25"/>
    <row r="7541" s="1" customFormat="1" ht="15" x14ac:dyDescent="0.25"/>
    <row r="7542" s="1" customFormat="1" ht="15" x14ac:dyDescent="0.25"/>
    <row r="7543" s="1" customFormat="1" ht="15" x14ac:dyDescent="0.25"/>
    <row r="7544" s="1" customFormat="1" ht="15" x14ac:dyDescent="0.25"/>
    <row r="7545" s="1" customFormat="1" ht="15" x14ac:dyDescent="0.25"/>
    <row r="7546" s="1" customFormat="1" ht="15" x14ac:dyDescent="0.25"/>
    <row r="7547" s="1" customFormat="1" ht="15" x14ac:dyDescent="0.25"/>
    <row r="7548" s="1" customFormat="1" ht="15" x14ac:dyDescent="0.25"/>
    <row r="7549" s="1" customFormat="1" ht="15" x14ac:dyDescent="0.25"/>
    <row r="7550" s="1" customFormat="1" ht="15" x14ac:dyDescent="0.25"/>
    <row r="7551" s="1" customFormat="1" ht="15" x14ac:dyDescent="0.25"/>
    <row r="7552" s="1" customFormat="1" ht="15" x14ac:dyDescent="0.25"/>
    <row r="7553" s="1" customFormat="1" ht="15" x14ac:dyDescent="0.25"/>
    <row r="7554" s="1" customFormat="1" ht="15" x14ac:dyDescent="0.25"/>
    <row r="7555" s="1" customFormat="1" ht="15" x14ac:dyDescent="0.25"/>
    <row r="7556" s="1" customFormat="1" ht="15" x14ac:dyDescent="0.25"/>
    <row r="7557" s="1" customFormat="1" ht="15" x14ac:dyDescent="0.25"/>
    <row r="7558" s="1" customFormat="1" ht="15" x14ac:dyDescent="0.25"/>
    <row r="7559" s="1" customFormat="1" ht="15" x14ac:dyDescent="0.25"/>
    <row r="7560" s="1" customFormat="1" ht="15" x14ac:dyDescent="0.25"/>
    <row r="7561" s="1" customFormat="1" ht="15" x14ac:dyDescent="0.25"/>
    <row r="7562" s="1" customFormat="1" ht="15" x14ac:dyDescent="0.25"/>
    <row r="7563" s="1" customFormat="1" ht="15" x14ac:dyDescent="0.25"/>
    <row r="7564" s="1" customFormat="1" ht="15" x14ac:dyDescent="0.25"/>
    <row r="7565" s="1" customFormat="1" ht="15" x14ac:dyDescent="0.25"/>
    <row r="7566" s="1" customFormat="1" ht="15" x14ac:dyDescent="0.25"/>
    <row r="7567" s="1" customFormat="1" ht="15" x14ac:dyDescent="0.25"/>
    <row r="7568" s="1" customFormat="1" ht="15" x14ac:dyDescent="0.25"/>
    <row r="7569" s="1" customFormat="1" ht="15" x14ac:dyDescent="0.25"/>
    <row r="7570" s="1" customFormat="1" ht="15" x14ac:dyDescent="0.25"/>
    <row r="7571" s="1" customFormat="1" ht="15" x14ac:dyDescent="0.25"/>
    <row r="7572" s="1" customFormat="1" ht="15" x14ac:dyDescent="0.25"/>
    <row r="7573" s="1" customFormat="1" ht="15" x14ac:dyDescent="0.25"/>
    <row r="7574" s="1" customFormat="1" ht="15" x14ac:dyDescent="0.25"/>
    <row r="7575" s="1" customFormat="1" ht="15" x14ac:dyDescent="0.25"/>
    <row r="7576" s="1" customFormat="1" ht="15" x14ac:dyDescent="0.25"/>
    <row r="7577" s="1" customFormat="1" ht="15" x14ac:dyDescent="0.25"/>
    <row r="7578" s="1" customFormat="1" ht="15" x14ac:dyDescent="0.25"/>
    <row r="7579" s="1" customFormat="1" ht="15" x14ac:dyDescent="0.25"/>
    <row r="7580" s="1" customFormat="1" ht="15" x14ac:dyDescent="0.25"/>
    <row r="7581" s="1" customFormat="1" ht="15" x14ac:dyDescent="0.25"/>
    <row r="7582" s="1" customFormat="1" ht="15" x14ac:dyDescent="0.25"/>
    <row r="7583" s="1" customFormat="1" ht="15" x14ac:dyDescent="0.25"/>
    <row r="7584" s="1" customFormat="1" ht="15" x14ac:dyDescent="0.25"/>
    <row r="7585" s="1" customFormat="1" ht="15" x14ac:dyDescent="0.25"/>
    <row r="7586" s="1" customFormat="1" ht="15" x14ac:dyDescent="0.25"/>
    <row r="7587" s="1" customFormat="1" ht="15" x14ac:dyDescent="0.25"/>
    <row r="7588" s="1" customFormat="1" ht="15" x14ac:dyDescent="0.25"/>
    <row r="7589" s="1" customFormat="1" ht="15" x14ac:dyDescent="0.25"/>
    <row r="7590" s="1" customFormat="1" ht="15" x14ac:dyDescent="0.25"/>
    <row r="7591" s="1" customFormat="1" ht="15" x14ac:dyDescent="0.25"/>
    <row r="7592" s="1" customFormat="1" ht="15" x14ac:dyDescent="0.25"/>
    <row r="7593" s="1" customFormat="1" ht="15" x14ac:dyDescent="0.25"/>
    <row r="7594" s="1" customFormat="1" ht="15" x14ac:dyDescent="0.25"/>
    <row r="7595" s="1" customFormat="1" ht="15" x14ac:dyDescent="0.25"/>
    <row r="7596" s="1" customFormat="1" ht="15" x14ac:dyDescent="0.25"/>
    <row r="7597" s="1" customFormat="1" ht="15" x14ac:dyDescent="0.25"/>
    <row r="7598" s="1" customFormat="1" ht="15" x14ac:dyDescent="0.25"/>
    <row r="7599" s="1" customFormat="1" ht="15" x14ac:dyDescent="0.25"/>
    <row r="7600" s="1" customFormat="1" ht="15" x14ac:dyDescent="0.25"/>
    <row r="7601" s="1" customFormat="1" ht="15" x14ac:dyDescent="0.25"/>
    <row r="7602" s="1" customFormat="1" ht="15" x14ac:dyDescent="0.25"/>
    <row r="7603" s="1" customFormat="1" ht="15" x14ac:dyDescent="0.25"/>
    <row r="7604" s="1" customFormat="1" ht="15" x14ac:dyDescent="0.25"/>
    <row r="7605" s="1" customFormat="1" ht="15" x14ac:dyDescent="0.25"/>
    <row r="7606" s="1" customFormat="1" ht="15" x14ac:dyDescent="0.25"/>
    <row r="7607" s="1" customFormat="1" ht="15" x14ac:dyDescent="0.25"/>
    <row r="7608" s="1" customFormat="1" ht="15" x14ac:dyDescent="0.25"/>
    <row r="7609" s="1" customFormat="1" ht="15" x14ac:dyDescent="0.25"/>
    <row r="7610" s="1" customFormat="1" ht="15" x14ac:dyDescent="0.25"/>
    <row r="7611" s="1" customFormat="1" ht="15" x14ac:dyDescent="0.25"/>
    <row r="7612" s="1" customFormat="1" ht="15" x14ac:dyDescent="0.25"/>
    <row r="7613" s="1" customFormat="1" ht="15" x14ac:dyDescent="0.25"/>
    <row r="7614" s="1" customFormat="1" ht="15" x14ac:dyDescent="0.25"/>
    <row r="7615" s="1" customFormat="1" ht="15" x14ac:dyDescent="0.25"/>
    <row r="7616" s="1" customFormat="1" ht="15" x14ac:dyDescent="0.25"/>
    <row r="7617" s="1" customFormat="1" ht="15" x14ac:dyDescent="0.25"/>
    <row r="7618" s="1" customFormat="1" ht="15" x14ac:dyDescent="0.25"/>
    <row r="7619" s="1" customFormat="1" ht="15" x14ac:dyDescent="0.25"/>
    <row r="7620" s="1" customFormat="1" ht="15" x14ac:dyDescent="0.25"/>
    <row r="7621" s="1" customFormat="1" ht="15" x14ac:dyDescent="0.25"/>
    <row r="7622" s="1" customFormat="1" ht="15" x14ac:dyDescent="0.25"/>
    <row r="7623" s="1" customFormat="1" ht="15" x14ac:dyDescent="0.25"/>
    <row r="7624" s="1" customFormat="1" ht="15" x14ac:dyDescent="0.25"/>
    <row r="7625" s="1" customFormat="1" ht="15" x14ac:dyDescent="0.25"/>
    <row r="7626" s="1" customFormat="1" ht="15" x14ac:dyDescent="0.25"/>
    <row r="7627" s="1" customFormat="1" ht="15" x14ac:dyDescent="0.25"/>
    <row r="7628" s="1" customFormat="1" ht="15" x14ac:dyDescent="0.25"/>
    <row r="7629" s="1" customFormat="1" ht="15" x14ac:dyDescent="0.25"/>
    <row r="7630" s="1" customFormat="1" ht="15" x14ac:dyDescent="0.25"/>
    <row r="7631" s="1" customFormat="1" ht="15" x14ac:dyDescent="0.25"/>
    <row r="7632" s="1" customFormat="1" ht="15" x14ac:dyDescent="0.25"/>
    <row r="7633" s="1" customFormat="1" ht="15" x14ac:dyDescent="0.25"/>
    <row r="7634" s="1" customFormat="1" ht="15" x14ac:dyDescent="0.25"/>
    <row r="7635" s="1" customFormat="1" ht="15" x14ac:dyDescent="0.25"/>
    <row r="7636" s="1" customFormat="1" ht="15" x14ac:dyDescent="0.25"/>
    <row r="7637" s="1" customFormat="1" ht="15" x14ac:dyDescent="0.25"/>
    <row r="7638" s="1" customFormat="1" ht="15" x14ac:dyDescent="0.25"/>
    <row r="7639" s="1" customFormat="1" ht="15" x14ac:dyDescent="0.25"/>
    <row r="7640" s="1" customFormat="1" ht="15" x14ac:dyDescent="0.25"/>
    <row r="7641" s="1" customFormat="1" ht="15" x14ac:dyDescent="0.25"/>
    <row r="7642" s="1" customFormat="1" ht="15" x14ac:dyDescent="0.25"/>
    <row r="7643" s="1" customFormat="1" ht="15" x14ac:dyDescent="0.25"/>
    <row r="7644" s="1" customFormat="1" ht="15" x14ac:dyDescent="0.25"/>
    <row r="7645" s="1" customFormat="1" ht="15" x14ac:dyDescent="0.25"/>
    <row r="7646" s="1" customFormat="1" ht="15" x14ac:dyDescent="0.25"/>
    <row r="7647" s="1" customFormat="1" ht="15" x14ac:dyDescent="0.25"/>
    <row r="7648" s="1" customFormat="1" ht="15" x14ac:dyDescent="0.25"/>
    <row r="7649" s="1" customFormat="1" ht="15" x14ac:dyDescent="0.25"/>
    <row r="7650" s="1" customFormat="1" ht="15" x14ac:dyDescent="0.25"/>
    <row r="7651" s="1" customFormat="1" ht="15" x14ac:dyDescent="0.25"/>
    <row r="7652" s="1" customFormat="1" ht="15" x14ac:dyDescent="0.25"/>
    <row r="7653" s="1" customFormat="1" ht="15" x14ac:dyDescent="0.25"/>
    <row r="7654" s="1" customFormat="1" ht="15" x14ac:dyDescent="0.25"/>
    <row r="7655" s="1" customFormat="1" ht="15" x14ac:dyDescent="0.25"/>
    <row r="7656" s="1" customFormat="1" ht="15" x14ac:dyDescent="0.25"/>
    <row r="7657" s="1" customFormat="1" ht="15" x14ac:dyDescent="0.25"/>
    <row r="7658" s="1" customFormat="1" ht="15" x14ac:dyDescent="0.25"/>
    <row r="7659" s="1" customFormat="1" ht="15" x14ac:dyDescent="0.25"/>
    <row r="7660" s="1" customFormat="1" ht="15" x14ac:dyDescent="0.25"/>
    <row r="7661" s="1" customFormat="1" ht="15" x14ac:dyDescent="0.25"/>
    <row r="7662" s="1" customFormat="1" ht="15" x14ac:dyDescent="0.25"/>
    <row r="7663" s="1" customFormat="1" ht="15" x14ac:dyDescent="0.25"/>
    <row r="7664" s="1" customFormat="1" ht="15" x14ac:dyDescent="0.25"/>
    <row r="7665" s="1" customFormat="1" ht="15" x14ac:dyDescent="0.25"/>
    <row r="7666" s="1" customFormat="1" ht="15" x14ac:dyDescent="0.25"/>
    <row r="7667" s="1" customFormat="1" ht="15" x14ac:dyDescent="0.25"/>
    <row r="7668" s="1" customFormat="1" ht="15" x14ac:dyDescent="0.25"/>
    <row r="7669" s="1" customFormat="1" ht="15" x14ac:dyDescent="0.25"/>
    <row r="7670" s="1" customFormat="1" ht="15" x14ac:dyDescent="0.25"/>
    <row r="7671" s="1" customFormat="1" ht="15" x14ac:dyDescent="0.25"/>
    <row r="7672" s="1" customFormat="1" ht="15" x14ac:dyDescent="0.25"/>
    <row r="7673" s="1" customFormat="1" ht="15" x14ac:dyDescent="0.25"/>
    <row r="7674" s="1" customFormat="1" ht="15" x14ac:dyDescent="0.25"/>
    <row r="7675" s="1" customFormat="1" ht="15" x14ac:dyDescent="0.25"/>
    <row r="7676" s="1" customFormat="1" ht="15" x14ac:dyDescent="0.25"/>
    <row r="7677" s="1" customFormat="1" ht="15" x14ac:dyDescent="0.25"/>
    <row r="7678" s="1" customFormat="1" ht="15" x14ac:dyDescent="0.25"/>
    <row r="7679" s="1" customFormat="1" ht="15" x14ac:dyDescent="0.25"/>
    <row r="7680" s="1" customFormat="1" ht="15" x14ac:dyDescent="0.25"/>
    <row r="7681" s="1" customFormat="1" ht="15" x14ac:dyDescent="0.25"/>
    <row r="7682" s="1" customFormat="1" ht="15" x14ac:dyDescent="0.25"/>
    <row r="7683" s="1" customFormat="1" ht="15" x14ac:dyDescent="0.25"/>
    <row r="7684" s="1" customFormat="1" ht="15" x14ac:dyDescent="0.25"/>
    <row r="7685" s="1" customFormat="1" ht="15" x14ac:dyDescent="0.25"/>
    <row r="7686" s="1" customFormat="1" ht="15" x14ac:dyDescent="0.25"/>
    <row r="7687" s="1" customFormat="1" ht="15" x14ac:dyDescent="0.25"/>
    <row r="7688" s="1" customFormat="1" ht="15" x14ac:dyDescent="0.25"/>
    <row r="7689" s="1" customFormat="1" ht="15" x14ac:dyDescent="0.25"/>
    <row r="7690" s="1" customFormat="1" ht="15" x14ac:dyDescent="0.25"/>
    <row r="7691" s="1" customFormat="1" ht="15" x14ac:dyDescent="0.25"/>
    <row r="7692" s="1" customFormat="1" ht="15" x14ac:dyDescent="0.25"/>
    <row r="7693" s="1" customFormat="1" ht="15" x14ac:dyDescent="0.25"/>
    <row r="7694" s="1" customFormat="1" ht="15" x14ac:dyDescent="0.25"/>
    <row r="7695" s="1" customFormat="1" ht="15" x14ac:dyDescent="0.25"/>
    <row r="7696" s="1" customFormat="1" ht="15" x14ac:dyDescent="0.25"/>
    <row r="7697" s="1" customFormat="1" ht="15" x14ac:dyDescent="0.25"/>
    <row r="7698" s="1" customFormat="1" ht="15" x14ac:dyDescent="0.25"/>
    <row r="7699" s="1" customFormat="1" ht="15" x14ac:dyDescent="0.25"/>
    <row r="7700" s="1" customFormat="1" ht="15" x14ac:dyDescent="0.25"/>
    <row r="7701" s="1" customFormat="1" ht="15" x14ac:dyDescent="0.25"/>
    <row r="7702" s="1" customFormat="1" ht="15" x14ac:dyDescent="0.25"/>
    <row r="7703" s="1" customFormat="1" ht="15" x14ac:dyDescent="0.25"/>
    <row r="7704" s="1" customFormat="1" ht="15" x14ac:dyDescent="0.25"/>
    <row r="7705" s="1" customFormat="1" ht="15" x14ac:dyDescent="0.25"/>
    <row r="7706" s="1" customFormat="1" ht="15" x14ac:dyDescent="0.25"/>
    <row r="7707" s="1" customFormat="1" ht="15" x14ac:dyDescent="0.25"/>
    <row r="7708" s="1" customFormat="1" ht="15" x14ac:dyDescent="0.25"/>
    <row r="7709" s="1" customFormat="1" ht="15" x14ac:dyDescent="0.25"/>
    <row r="7710" s="1" customFormat="1" ht="15" x14ac:dyDescent="0.25"/>
    <row r="7711" s="1" customFormat="1" ht="15" x14ac:dyDescent="0.25"/>
    <row r="7712" s="1" customFormat="1" ht="15" x14ac:dyDescent="0.25"/>
    <row r="7713" s="1" customFormat="1" ht="15" x14ac:dyDescent="0.25"/>
    <row r="7714" s="1" customFormat="1" ht="15" x14ac:dyDescent="0.25"/>
    <row r="7715" s="1" customFormat="1" ht="15" x14ac:dyDescent="0.25"/>
    <row r="7716" s="1" customFormat="1" ht="15" x14ac:dyDescent="0.25"/>
    <row r="7717" s="1" customFormat="1" ht="15" x14ac:dyDescent="0.25"/>
    <row r="7718" s="1" customFormat="1" ht="15" x14ac:dyDescent="0.25"/>
    <row r="7719" s="1" customFormat="1" ht="15" x14ac:dyDescent="0.25"/>
    <row r="7720" s="1" customFormat="1" ht="15" x14ac:dyDescent="0.25"/>
    <row r="7721" s="1" customFormat="1" ht="15" x14ac:dyDescent="0.25"/>
    <row r="7722" s="1" customFormat="1" ht="15" x14ac:dyDescent="0.25"/>
    <row r="7723" s="1" customFormat="1" ht="15" x14ac:dyDescent="0.25"/>
    <row r="7724" s="1" customFormat="1" ht="15" x14ac:dyDescent="0.25"/>
    <row r="7725" s="1" customFormat="1" ht="15" x14ac:dyDescent="0.25"/>
    <row r="7726" s="1" customFormat="1" ht="15" x14ac:dyDescent="0.25"/>
    <row r="7727" s="1" customFormat="1" ht="15" x14ac:dyDescent="0.25"/>
    <row r="7728" s="1" customFormat="1" ht="15" x14ac:dyDescent="0.25"/>
    <row r="7729" s="1" customFormat="1" ht="15" x14ac:dyDescent="0.25"/>
    <row r="7730" s="1" customFormat="1" ht="15" x14ac:dyDescent="0.25"/>
    <row r="7731" s="1" customFormat="1" ht="15" x14ac:dyDescent="0.25"/>
    <row r="7732" s="1" customFormat="1" ht="15" x14ac:dyDescent="0.25"/>
    <row r="7733" s="1" customFormat="1" ht="15" x14ac:dyDescent="0.25"/>
    <row r="7734" s="1" customFormat="1" ht="15" x14ac:dyDescent="0.25"/>
    <row r="7735" s="1" customFormat="1" ht="15" x14ac:dyDescent="0.25"/>
    <row r="7736" s="1" customFormat="1" ht="15" x14ac:dyDescent="0.25"/>
    <row r="7737" s="1" customFormat="1" ht="15" x14ac:dyDescent="0.25"/>
    <row r="7738" s="1" customFormat="1" ht="15" x14ac:dyDescent="0.25"/>
    <row r="7739" s="1" customFormat="1" ht="15" x14ac:dyDescent="0.25"/>
    <row r="7740" s="1" customFormat="1" ht="15" x14ac:dyDescent="0.25"/>
    <row r="7741" s="1" customFormat="1" ht="15" x14ac:dyDescent="0.25"/>
    <row r="7742" s="1" customFormat="1" ht="15" x14ac:dyDescent="0.25"/>
    <row r="7743" s="1" customFormat="1" ht="15" x14ac:dyDescent="0.25"/>
    <row r="7744" s="1" customFormat="1" ht="15" x14ac:dyDescent="0.25"/>
    <row r="7745" s="1" customFormat="1" ht="15" x14ac:dyDescent="0.25"/>
    <row r="7746" s="1" customFormat="1" ht="15" x14ac:dyDescent="0.25"/>
    <row r="7747" s="1" customFormat="1" ht="15" x14ac:dyDescent="0.25"/>
    <row r="7748" s="1" customFormat="1" ht="15" x14ac:dyDescent="0.25"/>
    <row r="7749" s="1" customFormat="1" ht="15" x14ac:dyDescent="0.25"/>
    <row r="7750" s="1" customFormat="1" ht="15" x14ac:dyDescent="0.25"/>
    <row r="7751" s="1" customFormat="1" ht="15" x14ac:dyDescent="0.25"/>
    <row r="7752" s="1" customFormat="1" ht="15" x14ac:dyDescent="0.25"/>
    <row r="7753" s="1" customFormat="1" ht="15" x14ac:dyDescent="0.25"/>
    <row r="7754" s="1" customFormat="1" ht="15" x14ac:dyDescent="0.25"/>
    <row r="7755" s="1" customFormat="1" ht="15" x14ac:dyDescent="0.25"/>
    <row r="7756" s="1" customFormat="1" ht="15" x14ac:dyDescent="0.25"/>
    <row r="7757" s="1" customFormat="1" ht="15" x14ac:dyDescent="0.25"/>
    <row r="7758" s="1" customFormat="1" ht="15" x14ac:dyDescent="0.25"/>
    <row r="7759" s="1" customFormat="1" ht="15" x14ac:dyDescent="0.25"/>
    <row r="7760" s="1" customFormat="1" ht="15" x14ac:dyDescent="0.25"/>
    <row r="7761" s="1" customFormat="1" ht="15" x14ac:dyDescent="0.25"/>
    <row r="7762" s="1" customFormat="1" ht="15" x14ac:dyDescent="0.25"/>
    <row r="7763" s="1" customFormat="1" ht="15" x14ac:dyDescent="0.25"/>
    <row r="7764" s="1" customFormat="1" ht="15" x14ac:dyDescent="0.25"/>
    <row r="7765" s="1" customFormat="1" ht="15" x14ac:dyDescent="0.25"/>
    <row r="7766" s="1" customFormat="1" ht="15" x14ac:dyDescent="0.25"/>
    <row r="7767" s="1" customFormat="1" ht="15" x14ac:dyDescent="0.25"/>
    <row r="7768" s="1" customFormat="1" ht="15" x14ac:dyDescent="0.25"/>
    <row r="7769" s="1" customFormat="1" ht="15" x14ac:dyDescent="0.25"/>
    <row r="7770" s="1" customFormat="1" ht="15" x14ac:dyDescent="0.25"/>
    <row r="7771" s="1" customFormat="1" ht="15" x14ac:dyDescent="0.25"/>
    <row r="7772" s="1" customFormat="1" ht="15" x14ac:dyDescent="0.25"/>
    <row r="7773" s="1" customFormat="1" ht="15" x14ac:dyDescent="0.25"/>
    <row r="7774" s="1" customFormat="1" ht="15" x14ac:dyDescent="0.25"/>
    <row r="7775" s="1" customFormat="1" ht="15" x14ac:dyDescent="0.25"/>
    <row r="7776" s="1" customFormat="1" ht="15" x14ac:dyDescent="0.25"/>
    <row r="7777" s="1" customFormat="1" ht="15" x14ac:dyDescent="0.25"/>
    <row r="7778" s="1" customFormat="1" ht="15" x14ac:dyDescent="0.25"/>
    <row r="7779" s="1" customFormat="1" ht="15" x14ac:dyDescent="0.25"/>
    <row r="7780" s="1" customFormat="1" ht="15" x14ac:dyDescent="0.25"/>
    <row r="7781" s="1" customFormat="1" ht="15" x14ac:dyDescent="0.25"/>
    <row r="7782" s="1" customFormat="1" ht="15" x14ac:dyDescent="0.25"/>
    <row r="7783" s="1" customFormat="1" ht="15" x14ac:dyDescent="0.25"/>
    <row r="7784" s="1" customFormat="1" ht="15" x14ac:dyDescent="0.25"/>
    <row r="7785" s="1" customFormat="1" ht="15" x14ac:dyDescent="0.25"/>
    <row r="7786" s="1" customFormat="1" ht="15" x14ac:dyDescent="0.25"/>
    <row r="7787" s="1" customFormat="1" ht="15" x14ac:dyDescent="0.25"/>
    <row r="7788" s="1" customFormat="1" ht="15" x14ac:dyDescent="0.25"/>
    <row r="7789" s="1" customFormat="1" ht="15" x14ac:dyDescent="0.25"/>
    <row r="7790" s="1" customFormat="1" ht="15" x14ac:dyDescent="0.25"/>
    <row r="7791" s="1" customFormat="1" ht="15" x14ac:dyDescent="0.25"/>
    <row r="7792" s="1" customFormat="1" ht="15" x14ac:dyDescent="0.25"/>
    <row r="7793" s="1" customFormat="1" ht="15" x14ac:dyDescent="0.25"/>
    <row r="7794" s="1" customFormat="1" ht="15" x14ac:dyDescent="0.25"/>
    <row r="7795" s="1" customFormat="1" ht="15" x14ac:dyDescent="0.25"/>
    <row r="7796" s="1" customFormat="1" ht="15" x14ac:dyDescent="0.25"/>
    <row r="7797" s="1" customFormat="1" ht="15" x14ac:dyDescent="0.25"/>
    <row r="7798" s="1" customFormat="1" ht="15" x14ac:dyDescent="0.25"/>
    <row r="7799" s="1" customFormat="1" ht="15" x14ac:dyDescent="0.25"/>
    <row r="7800" s="1" customFormat="1" ht="15" x14ac:dyDescent="0.25"/>
    <row r="7801" s="1" customFormat="1" ht="15" x14ac:dyDescent="0.25"/>
    <row r="7802" s="1" customFormat="1" ht="15" x14ac:dyDescent="0.25"/>
    <row r="7803" s="1" customFormat="1" ht="15" x14ac:dyDescent="0.25"/>
    <row r="7804" s="1" customFormat="1" ht="15" x14ac:dyDescent="0.25"/>
    <row r="7805" s="1" customFormat="1" ht="15" x14ac:dyDescent="0.25"/>
    <row r="7806" s="1" customFormat="1" ht="15" x14ac:dyDescent="0.25"/>
    <row r="7807" s="1" customFormat="1" ht="15" x14ac:dyDescent="0.25"/>
    <row r="7808" s="1" customFormat="1" ht="15" x14ac:dyDescent="0.25"/>
    <row r="7809" s="1" customFormat="1" ht="15" x14ac:dyDescent="0.25"/>
    <row r="7810" s="1" customFormat="1" ht="15" x14ac:dyDescent="0.25"/>
    <row r="7811" s="1" customFormat="1" ht="15" x14ac:dyDescent="0.25"/>
    <row r="7812" s="1" customFormat="1" ht="15" x14ac:dyDescent="0.25"/>
    <row r="7813" s="1" customFormat="1" ht="15" x14ac:dyDescent="0.25"/>
    <row r="7814" s="1" customFormat="1" ht="15" x14ac:dyDescent="0.25"/>
    <row r="7815" s="1" customFormat="1" ht="15" x14ac:dyDescent="0.25"/>
    <row r="7816" s="1" customFormat="1" ht="15" x14ac:dyDescent="0.25"/>
    <row r="7817" s="1" customFormat="1" ht="15" x14ac:dyDescent="0.25"/>
    <row r="7818" s="1" customFormat="1" ht="15" x14ac:dyDescent="0.25"/>
    <row r="7819" s="1" customFormat="1" ht="15" x14ac:dyDescent="0.25"/>
    <row r="7820" s="1" customFormat="1" ht="15" x14ac:dyDescent="0.25"/>
    <row r="7821" s="1" customFormat="1" ht="15" x14ac:dyDescent="0.25"/>
    <row r="7822" s="1" customFormat="1" ht="15" x14ac:dyDescent="0.25"/>
    <row r="7823" s="1" customFormat="1" ht="15" x14ac:dyDescent="0.25"/>
    <row r="7824" s="1" customFormat="1" ht="15" x14ac:dyDescent="0.25"/>
    <row r="7825" s="1" customFormat="1" ht="15" x14ac:dyDescent="0.25"/>
    <row r="7826" s="1" customFormat="1" ht="15" x14ac:dyDescent="0.25"/>
    <row r="7827" s="1" customFormat="1" ht="15" x14ac:dyDescent="0.25"/>
    <row r="7828" s="1" customFormat="1" ht="15" x14ac:dyDescent="0.25"/>
    <row r="7829" s="1" customFormat="1" ht="15" x14ac:dyDescent="0.25"/>
    <row r="7830" s="1" customFormat="1" ht="15" x14ac:dyDescent="0.25"/>
    <row r="7831" s="1" customFormat="1" ht="15" x14ac:dyDescent="0.25"/>
    <row r="7832" s="1" customFormat="1" ht="15" x14ac:dyDescent="0.25"/>
    <row r="7833" s="1" customFormat="1" ht="15" x14ac:dyDescent="0.25"/>
    <row r="7834" s="1" customFormat="1" ht="15" x14ac:dyDescent="0.25"/>
    <row r="7835" s="1" customFormat="1" ht="15" x14ac:dyDescent="0.25"/>
    <row r="7836" s="1" customFormat="1" ht="15" x14ac:dyDescent="0.25"/>
    <row r="7837" s="1" customFormat="1" ht="15" x14ac:dyDescent="0.25"/>
    <row r="7838" s="1" customFormat="1" ht="15" x14ac:dyDescent="0.25"/>
    <row r="7839" s="1" customFormat="1" ht="15" x14ac:dyDescent="0.25"/>
    <row r="7840" s="1" customFormat="1" ht="15" x14ac:dyDescent="0.25"/>
    <row r="7841" s="1" customFormat="1" ht="15" x14ac:dyDescent="0.25"/>
    <row r="7842" s="1" customFormat="1" ht="15" x14ac:dyDescent="0.25"/>
    <row r="7843" s="1" customFormat="1" ht="15" x14ac:dyDescent="0.25"/>
    <row r="7844" s="1" customFormat="1" ht="15" x14ac:dyDescent="0.25"/>
    <row r="7845" s="1" customFormat="1" ht="15" x14ac:dyDescent="0.25"/>
    <row r="7846" s="1" customFormat="1" ht="15" x14ac:dyDescent="0.25"/>
    <row r="7847" s="1" customFormat="1" ht="15" x14ac:dyDescent="0.25"/>
    <row r="7848" s="1" customFormat="1" ht="15" x14ac:dyDescent="0.25"/>
    <row r="7849" s="1" customFormat="1" ht="15" x14ac:dyDescent="0.25"/>
    <row r="7850" s="1" customFormat="1" ht="15" x14ac:dyDescent="0.25"/>
    <row r="7851" s="1" customFormat="1" ht="15" x14ac:dyDescent="0.25"/>
    <row r="7852" s="1" customFormat="1" ht="15" x14ac:dyDescent="0.25"/>
    <row r="7853" s="1" customFormat="1" ht="15" x14ac:dyDescent="0.25"/>
    <row r="7854" s="1" customFormat="1" ht="15" x14ac:dyDescent="0.25"/>
    <row r="7855" s="1" customFormat="1" ht="15" x14ac:dyDescent="0.25"/>
    <row r="7856" s="1" customFormat="1" ht="15" x14ac:dyDescent="0.25"/>
    <row r="7857" s="1" customFormat="1" ht="15" x14ac:dyDescent="0.25"/>
    <row r="7858" s="1" customFormat="1" ht="15" x14ac:dyDescent="0.25"/>
    <row r="7859" s="1" customFormat="1" ht="15" x14ac:dyDescent="0.25"/>
    <row r="7860" s="1" customFormat="1" ht="15" x14ac:dyDescent="0.25"/>
    <row r="7861" s="1" customFormat="1" ht="15" x14ac:dyDescent="0.25"/>
    <row r="7862" s="1" customFormat="1" ht="15" x14ac:dyDescent="0.25"/>
    <row r="7863" s="1" customFormat="1" ht="15" x14ac:dyDescent="0.25"/>
    <row r="7864" s="1" customFormat="1" ht="15" x14ac:dyDescent="0.25"/>
    <row r="7865" s="1" customFormat="1" ht="15" x14ac:dyDescent="0.25"/>
    <row r="7866" s="1" customFormat="1" ht="15" x14ac:dyDescent="0.25"/>
    <row r="7867" s="1" customFormat="1" ht="15" x14ac:dyDescent="0.25"/>
    <row r="7868" s="1" customFormat="1" ht="15" x14ac:dyDescent="0.25"/>
    <row r="7869" s="1" customFormat="1" ht="15" x14ac:dyDescent="0.25"/>
    <row r="7870" s="1" customFormat="1" ht="15" x14ac:dyDescent="0.25"/>
    <row r="7871" s="1" customFormat="1" ht="15" x14ac:dyDescent="0.25"/>
    <row r="7872" s="1" customFormat="1" ht="15" x14ac:dyDescent="0.25"/>
    <row r="7873" s="1" customFormat="1" ht="15" x14ac:dyDescent="0.25"/>
    <row r="7874" s="1" customFormat="1" ht="15" x14ac:dyDescent="0.25"/>
    <row r="7875" s="1" customFormat="1" ht="15" x14ac:dyDescent="0.25"/>
    <row r="7876" s="1" customFormat="1" ht="15" x14ac:dyDescent="0.25"/>
    <row r="7877" s="1" customFormat="1" ht="15" x14ac:dyDescent="0.25"/>
    <row r="7878" s="1" customFormat="1" ht="15" x14ac:dyDescent="0.25"/>
    <row r="7879" s="1" customFormat="1" ht="15" x14ac:dyDescent="0.25"/>
    <row r="7880" s="1" customFormat="1" ht="15" x14ac:dyDescent="0.25"/>
    <row r="7881" s="1" customFormat="1" ht="15" x14ac:dyDescent="0.25"/>
    <row r="7882" s="1" customFormat="1" ht="15" x14ac:dyDescent="0.25"/>
    <row r="7883" s="1" customFormat="1" ht="15" x14ac:dyDescent="0.25"/>
    <row r="7884" s="1" customFormat="1" ht="15" x14ac:dyDescent="0.25"/>
    <row r="7885" s="1" customFormat="1" ht="15" x14ac:dyDescent="0.25"/>
    <row r="7886" s="1" customFormat="1" ht="15" x14ac:dyDescent="0.25"/>
    <row r="7887" s="1" customFormat="1" ht="15" x14ac:dyDescent="0.25"/>
    <row r="7888" s="1" customFormat="1" ht="15" x14ac:dyDescent="0.25"/>
    <row r="7889" s="1" customFormat="1" ht="15" x14ac:dyDescent="0.25"/>
    <row r="7890" s="1" customFormat="1" ht="15" x14ac:dyDescent="0.25"/>
    <row r="7891" s="1" customFormat="1" ht="15" x14ac:dyDescent="0.25"/>
    <row r="7892" s="1" customFormat="1" ht="15" x14ac:dyDescent="0.25"/>
    <row r="7893" s="1" customFormat="1" ht="15" x14ac:dyDescent="0.25"/>
    <row r="7894" s="1" customFormat="1" ht="15" x14ac:dyDescent="0.25"/>
    <row r="7895" s="1" customFormat="1" ht="15" x14ac:dyDescent="0.25"/>
    <row r="7896" s="1" customFormat="1" ht="15" x14ac:dyDescent="0.25"/>
    <row r="7897" s="1" customFormat="1" ht="15" x14ac:dyDescent="0.25"/>
    <row r="7898" s="1" customFormat="1" ht="15" x14ac:dyDescent="0.25"/>
    <row r="7899" s="1" customFormat="1" ht="15" x14ac:dyDescent="0.25"/>
    <row r="7900" s="1" customFormat="1" ht="15" x14ac:dyDescent="0.25"/>
    <row r="7901" s="1" customFormat="1" ht="15" x14ac:dyDescent="0.25"/>
    <row r="7902" s="1" customFormat="1" ht="15" x14ac:dyDescent="0.25"/>
    <row r="7903" s="1" customFormat="1" ht="15" x14ac:dyDescent="0.25"/>
    <row r="7904" s="1" customFormat="1" ht="15" x14ac:dyDescent="0.25"/>
    <row r="7905" s="1" customFormat="1" ht="15" x14ac:dyDescent="0.25"/>
    <row r="7906" s="1" customFormat="1" ht="15" x14ac:dyDescent="0.25"/>
    <row r="7907" s="1" customFormat="1" ht="15" x14ac:dyDescent="0.25"/>
    <row r="7908" s="1" customFormat="1" ht="15" x14ac:dyDescent="0.25"/>
    <row r="7909" s="1" customFormat="1" ht="15" x14ac:dyDescent="0.25"/>
    <row r="7910" s="1" customFormat="1" ht="15" x14ac:dyDescent="0.25"/>
    <row r="7911" s="1" customFormat="1" ht="15" x14ac:dyDescent="0.25"/>
    <row r="7912" s="1" customFormat="1" ht="15" x14ac:dyDescent="0.25"/>
    <row r="7913" s="1" customFormat="1" ht="15" x14ac:dyDescent="0.25"/>
    <row r="7914" s="1" customFormat="1" ht="15" x14ac:dyDescent="0.25"/>
    <row r="7915" s="1" customFormat="1" ht="15" x14ac:dyDescent="0.25"/>
    <row r="7916" s="1" customFormat="1" ht="15" x14ac:dyDescent="0.25"/>
    <row r="7917" s="1" customFormat="1" ht="15" x14ac:dyDescent="0.25"/>
    <row r="7918" s="1" customFormat="1" ht="15" x14ac:dyDescent="0.25"/>
    <row r="7919" s="1" customFormat="1" ht="15" x14ac:dyDescent="0.25"/>
    <row r="7920" s="1" customFormat="1" ht="15" x14ac:dyDescent="0.25"/>
    <row r="7921" s="1" customFormat="1" ht="15" x14ac:dyDescent="0.25"/>
    <row r="7922" s="1" customFormat="1" ht="15" x14ac:dyDescent="0.25"/>
    <row r="7923" s="1" customFormat="1" ht="15" x14ac:dyDescent="0.25"/>
    <row r="7924" s="1" customFormat="1" ht="15" x14ac:dyDescent="0.25"/>
    <row r="7925" s="1" customFormat="1" ht="15" x14ac:dyDescent="0.25"/>
    <row r="7926" s="1" customFormat="1" ht="15" x14ac:dyDescent="0.25"/>
    <row r="7927" s="1" customFormat="1" ht="15" x14ac:dyDescent="0.25"/>
    <row r="7928" s="1" customFormat="1" ht="15" x14ac:dyDescent="0.25"/>
    <row r="7929" s="1" customFormat="1" ht="15" x14ac:dyDescent="0.25"/>
    <row r="7930" s="1" customFormat="1" ht="15" x14ac:dyDescent="0.25"/>
    <row r="7931" s="1" customFormat="1" ht="15" x14ac:dyDescent="0.25"/>
    <row r="7932" s="1" customFormat="1" ht="15" x14ac:dyDescent="0.25"/>
    <row r="7933" s="1" customFormat="1" ht="15" x14ac:dyDescent="0.25"/>
    <row r="7934" s="1" customFormat="1" ht="15" x14ac:dyDescent="0.25"/>
    <row r="7935" s="1" customFormat="1" ht="15" x14ac:dyDescent="0.25"/>
    <row r="7936" s="1" customFormat="1" ht="15" x14ac:dyDescent="0.25"/>
    <row r="7937" s="1" customFormat="1" ht="15" x14ac:dyDescent="0.25"/>
    <row r="7938" s="1" customFormat="1" ht="15" x14ac:dyDescent="0.25"/>
    <row r="7939" s="1" customFormat="1" ht="15" x14ac:dyDescent="0.25"/>
    <row r="7940" s="1" customFormat="1" ht="15" x14ac:dyDescent="0.25"/>
    <row r="7941" s="1" customFormat="1" ht="15" x14ac:dyDescent="0.25"/>
    <row r="7942" s="1" customFormat="1" ht="15" x14ac:dyDescent="0.25"/>
    <row r="7943" s="1" customFormat="1" ht="15" x14ac:dyDescent="0.25"/>
    <row r="7944" s="1" customFormat="1" ht="15" x14ac:dyDescent="0.25"/>
    <row r="7945" s="1" customFormat="1" ht="15" x14ac:dyDescent="0.25"/>
    <row r="7946" s="1" customFormat="1" ht="15" x14ac:dyDescent="0.25"/>
    <row r="7947" s="1" customFormat="1" ht="15" x14ac:dyDescent="0.25"/>
    <row r="7948" s="1" customFormat="1" ht="15" x14ac:dyDescent="0.25"/>
    <row r="7949" s="1" customFormat="1" ht="15" x14ac:dyDescent="0.25"/>
    <row r="7950" s="1" customFormat="1" ht="15" x14ac:dyDescent="0.25"/>
    <row r="7951" s="1" customFormat="1" ht="15" x14ac:dyDescent="0.25"/>
    <row r="7952" s="1" customFormat="1" ht="15" x14ac:dyDescent="0.25"/>
    <row r="7953" s="1" customFormat="1" ht="15" x14ac:dyDescent="0.25"/>
    <row r="7954" s="1" customFormat="1" ht="15" x14ac:dyDescent="0.25"/>
    <row r="7955" s="1" customFormat="1" ht="15" x14ac:dyDescent="0.25"/>
    <row r="7956" s="1" customFormat="1" ht="15" x14ac:dyDescent="0.25"/>
    <row r="7957" s="1" customFormat="1" ht="15" x14ac:dyDescent="0.25"/>
    <row r="7958" s="1" customFormat="1" ht="15" x14ac:dyDescent="0.25"/>
    <row r="7959" s="1" customFormat="1" ht="15" x14ac:dyDescent="0.25"/>
    <row r="7960" s="1" customFormat="1" ht="15" x14ac:dyDescent="0.25"/>
    <row r="7961" s="1" customFormat="1" ht="15" x14ac:dyDescent="0.25"/>
    <row r="7962" s="1" customFormat="1" ht="15" x14ac:dyDescent="0.25"/>
    <row r="7963" s="1" customFormat="1" ht="15" x14ac:dyDescent="0.25"/>
    <row r="7964" s="1" customFormat="1" ht="15" x14ac:dyDescent="0.25"/>
    <row r="7965" s="1" customFormat="1" ht="15" x14ac:dyDescent="0.25"/>
    <row r="7966" s="1" customFormat="1" ht="15" x14ac:dyDescent="0.25"/>
    <row r="7967" s="1" customFormat="1" ht="15" x14ac:dyDescent="0.25"/>
    <row r="7968" s="1" customFormat="1" ht="15" x14ac:dyDescent="0.25"/>
    <row r="7969" s="1" customFormat="1" ht="15" x14ac:dyDescent="0.25"/>
    <row r="7970" s="1" customFormat="1" ht="15" x14ac:dyDescent="0.25"/>
    <row r="7971" s="1" customFormat="1" ht="15" x14ac:dyDescent="0.25"/>
    <row r="7972" s="1" customFormat="1" ht="15" x14ac:dyDescent="0.25"/>
    <row r="7973" s="1" customFormat="1" ht="15" x14ac:dyDescent="0.25"/>
    <row r="7974" s="1" customFormat="1" ht="15" x14ac:dyDescent="0.25"/>
    <row r="7975" s="1" customFormat="1" ht="15" x14ac:dyDescent="0.25"/>
    <row r="7976" s="1" customFormat="1" ht="15" x14ac:dyDescent="0.25"/>
    <row r="7977" s="1" customFormat="1" ht="15" x14ac:dyDescent="0.25"/>
    <row r="7978" s="1" customFormat="1" ht="15" x14ac:dyDescent="0.25"/>
    <row r="7979" s="1" customFormat="1" ht="15" x14ac:dyDescent="0.25"/>
    <row r="7980" s="1" customFormat="1" ht="15" x14ac:dyDescent="0.25"/>
    <row r="7981" s="1" customFormat="1" ht="15" x14ac:dyDescent="0.25"/>
    <row r="7982" s="1" customFormat="1" ht="15" x14ac:dyDescent="0.25"/>
    <row r="7983" s="1" customFormat="1" ht="15" x14ac:dyDescent="0.25"/>
    <row r="7984" s="1" customFormat="1" ht="15" x14ac:dyDescent="0.25"/>
    <row r="7985" s="1" customFormat="1" ht="15" x14ac:dyDescent="0.25"/>
    <row r="7986" s="1" customFormat="1" ht="15" x14ac:dyDescent="0.25"/>
    <row r="7987" s="1" customFormat="1" ht="15" x14ac:dyDescent="0.25"/>
    <row r="7988" s="1" customFormat="1" ht="15" x14ac:dyDescent="0.25"/>
    <row r="7989" s="1" customFormat="1" ht="15" x14ac:dyDescent="0.25"/>
    <row r="7990" s="1" customFormat="1" ht="15" x14ac:dyDescent="0.25"/>
    <row r="7991" s="1" customFormat="1" ht="15" x14ac:dyDescent="0.25"/>
    <row r="7992" s="1" customFormat="1" ht="15" x14ac:dyDescent="0.25"/>
    <row r="7993" s="1" customFormat="1" ht="15" x14ac:dyDescent="0.25"/>
    <row r="7994" s="1" customFormat="1" ht="15" x14ac:dyDescent="0.25"/>
    <row r="7995" s="1" customFormat="1" ht="15" x14ac:dyDescent="0.25"/>
    <row r="7996" s="1" customFormat="1" ht="15" x14ac:dyDescent="0.25"/>
    <row r="7997" s="1" customFormat="1" ht="15" x14ac:dyDescent="0.25"/>
    <row r="7998" s="1" customFormat="1" ht="15" x14ac:dyDescent="0.25"/>
    <row r="7999" s="1" customFormat="1" ht="15" x14ac:dyDescent="0.25"/>
    <row r="8000" s="1" customFormat="1" ht="15" x14ac:dyDescent="0.25"/>
    <row r="8001" s="1" customFormat="1" ht="15" x14ac:dyDescent="0.25"/>
    <row r="8002" s="1" customFormat="1" ht="15" x14ac:dyDescent="0.25"/>
    <row r="8003" s="1" customFormat="1" ht="15" x14ac:dyDescent="0.25"/>
    <row r="8004" s="1" customFormat="1" ht="15" x14ac:dyDescent="0.25"/>
    <row r="8005" s="1" customFormat="1" ht="15" x14ac:dyDescent="0.25"/>
    <row r="8006" s="1" customFormat="1" ht="15" x14ac:dyDescent="0.25"/>
    <row r="8007" s="1" customFormat="1" ht="15" x14ac:dyDescent="0.25"/>
    <row r="8008" s="1" customFormat="1" ht="15" x14ac:dyDescent="0.25"/>
    <row r="8009" s="1" customFormat="1" ht="15" x14ac:dyDescent="0.25"/>
    <row r="8010" s="1" customFormat="1" ht="15" x14ac:dyDescent="0.25"/>
    <row r="8011" s="1" customFormat="1" ht="15" x14ac:dyDescent="0.25"/>
    <row r="8012" s="1" customFormat="1" ht="15" x14ac:dyDescent="0.25"/>
    <row r="8013" s="1" customFormat="1" ht="15" x14ac:dyDescent="0.25"/>
    <row r="8014" s="1" customFormat="1" ht="15" x14ac:dyDescent="0.25"/>
    <row r="8015" s="1" customFormat="1" ht="15" x14ac:dyDescent="0.25"/>
    <row r="8016" s="1" customFormat="1" ht="15" x14ac:dyDescent="0.25"/>
    <row r="8017" s="1" customFormat="1" ht="15" x14ac:dyDescent="0.25"/>
    <row r="8018" s="1" customFormat="1" ht="15" x14ac:dyDescent="0.25"/>
    <row r="8019" s="1" customFormat="1" ht="15" x14ac:dyDescent="0.25"/>
    <row r="8020" s="1" customFormat="1" ht="15" x14ac:dyDescent="0.25"/>
    <row r="8021" s="1" customFormat="1" ht="15" x14ac:dyDescent="0.25"/>
    <row r="8022" s="1" customFormat="1" ht="15" x14ac:dyDescent="0.25"/>
    <row r="8023" s="1" customFormat="1" ht="15" x14ac:dyDescent="0.25"/>
    <row r="8024" s="1" customFormat="1" ht="15" x14ac:dyDescent="0.25"/>
    <row r="8025" s="1" customFormat="1" ht="15" x14ac:dyDescent="0.25"/>
    <row r="8026" s="1" customFormat="1" ht="15" x14ac:dyDescent="0.25"/>
    <row r="8027" s="1" customFormat="1" ht="15" x14ac:dyDescent="0.25"/>
    <row r="8028" s="1" customFormat="1" ht="15" x14ac:dyDescent="0.25"/>
    <row r="8029" s="1" customFormat="1" ht="15" x14ac:dyDescent="0.25"/>
    <row r="8030" s="1" customFormat="1" ht="15" x14ac:dyDescent="0.25"/>
    <row r="8031" s="1" customFormat="1" ht="15" x14ac:dyDescent="0.25"/>
    <row r="8032" s="1" customFormat="1" ht="15" x14ac:dyDescent="0.25"/>
    <row r="8033" s="1" customFormat="1" ht="15" x14ac:dyDescent="0.25"/>
    <row r="8034" s="1" customFormat="1" ht="15" x14ac:dyDescent="0.25"/>
    <row r="8035" s="1" customFormat="1" ht="15" x14ac:dyDescent="0.25"/>
    <row r="8036" s="1" customFormat="1" ht="15" x14ac:dyDescent="0.25"/>
    <row r="8037" s="1" customFormat="1" ht="15" x14ac:dyDescent="0.25"/>
    <row r="8038" s="1" customFormat="1" ht="15" x14ac:dyDescent="0.25"/>
    <row r="8039" s="1" customFormat="1" ht="15" x14ac:dyDescent="0.25"/>
    <row r="8040" s="1" customFormat="1" ht="15" x14ac:dyDescent="0.25"/>
    <row r="8041" s="1" customFormat="1" ht="15" x14ac:dyDescent="0.25"/>
    <row r="8042" s="1" customFormat="1" ht="15" x14ac:dyDescent="0.25"/>
    <row r="8043" s="1" customFormat="1" ht="15" x14ac:dyDescent="0.25"/>
    <row r="8044" s="1" customFormat="1" ht="15" x14ac:dyDescent="0.25"/>
    <row r="8045" s="1" customFormat="1" ht="15" x14ac:dyDescent="0.25"/>
    <row r="8046" s="1" customFormat="1" ht="15" x14ac:dyDescent="0.25"/>
    <row r="8047" s="1" customFormat="1" ht="15" x14ac:dyDescent="0.25"/>
    <row r="8048" s="1" customFormat="1" ht="15" x14ac:dyDescent="0.25"/>
    <row r="8049" s="1" customFormat="1" ht="15" x14ac:dyDescent="0.25"/>
    <row r="8050" s="1" customFormat="1" ht="15" x14ac:dyDescent="0.25"/>
    <row r="8051" s="1" customFormat="1" ht="15" x14ac:dyDescent="0.25"/>
    <row r="8052" s="1" customFormat="1" ht="15" x14ac:dyDescent="0.25"/>
    <row r="8053" s="1" customFormat="1" ht="15" x14ac:dyDescent="0.25"/>
    <row r="8054" s="1" customFormat="1" ht="15" x14ac:dyDescent="0.25"/>
    <row r="8055" s="1" customFormat="1" ht="15" x14ac:dyDescent="0.25"/>
    <row r="8056" s="1" customFormat="1" ht="15" x14ac:dyDescent="0.25"/>
    <row r="8057" s="1" customFormat="1" ht="15" x14ac:dyDescent="0.25"/>
    <row r="8058" s="1" customFormat="1" ht="15" x14ac:dyDescent="0.25"/>
    <row r="8059" s="1" customFormat="1" ht="15" x14ac:dyDescent="0.25"/>
    <row r="8060" s="1" customFormat="1" ht="15" x14ac:dyDescent="0.25"/>
    <row r="8061" s="1" customFormat="1" ht="15" x14ac:dyDescent="0.25"/>
    <row r="8062" s="1" customFormat="1" ht="15" x14ac:dyDescent="0.25"/>
    <row r="8063" s="1" customFormat="1" ht="15" x14ac:dyDescent="0.25"/>
    <row r="8064" s="1" customFormat="1" ht="15" x14ac:dyDescent="0.25"/>
    <row r="8065" s="1" customFormat="1" ht="15" x14ac:dyDescent="0.25"/>
    <row r="8066" s="1" customFormat="1" ht="15" x14ac:dyDescent="0.25"/>
    <row r="8067" s="1" customFormat="1" ht="15" x14ac:dyDescent="0.25"/>
    <row r="8068" s="1" customFormat="1" ht="15" x14ac:dyDescent="0.25"/>
    <row r="8069" s="1" customFormat="1" ht="15" x14ac:dyDescent="0.25"/>
    <row r="8070" s="1" customFormat="1" ht="15" x14ac:dyDescent="0.25"/>
    <row r="8071" s="1" customFormat="1" ht="15" x14ac:dyDescent="0.25"/>
    <row r="8072" s="1" customFormat="1" ht="15" x14ac:dyDescent="0.25"/>
    <row r="8073" s="1" customFormat="1" ht="15" x14ac:dyDescent="0.25"/>
    <row r="8074" s="1" customFormat="1" ht="15" x14ac:dyDescent="0.25"/>
    <row r="8075" s="1" customFormat="1" ht="15" x14ac:dyDescent="0.25"/>
    <row r="8076" s="1" customFormat="1" ht="15" x14ac:dyDescent="0.25"/>
    <row r="8077" s="1" customFormat="1" ht="15" x14ac:dyDescent="0.25"/>
    <row r="8078" s="1" customFormat="1" ht="15" x14ac:dyDescent="0.25"/>
    <row r="8079" s="1" customFormat="1" ht="15" x14ac:dyDescent="0.25"/>
    <row r="8080" s="1" customFormat="1" ht="15" x14ac:dyDescent="0.25"/>
    <row r="8081" s="1" customFormat="1" ht="15" x14ac:dyDescent="0.25"/>
    <row r="8082" s="1" customFormat="1" ht="15" x14ac:dyDescent="0.25"/>
    <row r="8083" s="1" customFormat="1" ht="15" x14ac:dyDescent="0.25"/>
    <row r="8084" s="1" customFormat="1" ht="15" x14ac:dyDescent="0.25"/>
    <row r="8085" s="1" customFormat="1" ht="15" x14ac:dyDescent="0.25"/>
    <row r="8086" s="1" customFormat="1" ht="15" x14ac:dyDescent="0.25"/>
    <row r="8087" s="1" customFormat="1" ht="15" x14ac:dyDescent="0.25"/>
    <row r="8088" s="1" customFormat="1" ht="15" x14ac:dyDescent="0.25"/>
    <row r="8089" s="1" customFormat="1" ht="15" x14ac:dyDescent="0.25"/>
    <row r="8090" s="1" customFormat="1" ht="15" x14ac:dyDescent="0.25"/>
    <row r="8091" s="1" customFormat="1" ht="15" x14ac:dyDescent="0.25"/>
    <row r="8092" s="1" customFormat="1" ht="15" x14ac:dyDescent="0.25"/>
    <row r="8093" s="1" customFormat="1" ht="15" x14ac:dyDescent="0.25"/>
    <row r="8094" s="1" customFormat="1" ht="15" x14ac:dyDescent="0.25"/>
    <row r="8095" s="1" customFormat="1" ht="15" x14ac:dyDescent="0.25"/>
    <row r="8096" s="1" customFormat="1" ht="15" x14ac:dyDescent="0.25"/>
    <row r="8097" s="1" customFormat="1" ht="15" x14ac:dyDescent="0.25"/>
    <row r="8098" s="1" customFormat="1" ht="15" x14ac:dyDescent="0.25"/>
    <row r="8099" s="1" customFormat="1" ht="15" x14ac:dyDescent="0.25"/>
    <row r="8100" s="1" customFormat="1" ht="15" x14ac:dyDescent="0.25"/>
    <row r="8101" s="1" customFormat="1" ht="15" x14ac:dyDescent="0.25"/>
    <row r="8102" s="1" customFormat="1" ht="15" x14ac:dyDescent="0.25"/>
    <row r="8103" s="1" customFormat="1" ht="15" x14ac:dyDescent="0.25"/>
    <row r="8104" s="1" customFormat="1" ht="15" x14ac:dyDescent="0.25"/>
    <row r="8105" s="1" customFormat="1" ht="15" x14ac:dyDescent="0.25"/>
    <row r="8106" s="1" customFormat="1" ht="15" x14ac:dyDescent="0.25"/>
    <row r="8107" s="1" customFormat="1" ht="15" x14ac:dyDescent="0.25"/>
    <row r="8108" s="1" customFormat="1" ht="15" x14ac:dyDescent="0.25"/>
    <row r="8109" s="1" customFormat="1" ht="15" x14ac:dyDescent="0.25"/>
    <row r="8110" s="1" customFormat="1" ht="15" x14ac:dyDescent="0.25"/>
    <row r="8111" s="1" customFormat="1" ht="15" x14ac:dyDescent="0.25"/>
    <row r="8112" s="1" customFormat="1" ht="15" x14ac:dyDescent="0.25"/>
    <row r="8113" s="1" customFormat="1" ht="15" x14ac:dyDescent="0.25"/>
    <row r="8114" s="1" customFormat="1" ht="15" x14ac:dyDescent="0.25"/>
    <row r="8115" s="1" customFormat="1" ht="15" x14ac:dyDescent="0.25"/>
    <row r="8116" s="1" customFormat="1" ht="15" x14ac:dyDescent="0.25"/>
    <row r="8117" s="1" customFormat="1" ht="15" x14ac:dyDescent="0.25"/>
    <row r="8118" s="1" customFormat="1" ht="15" x14ac:dyDescent="0.25"/>
    <row r="8119" s="1" customFormat="1" ht="15" x14ac:dyDescent="0.25"/>
    <row r="8120" s="1" customFormat="1" ht="15" x14ac:dyDescent="0.25"/>
    <row r="8121" s="1" customFormat="1" ht="15" x14ac:dyDescent="0.25"/>
    <row r="8122" s="1" customFormat="1" ht="15" x14ac:dyDescent="0.25"/>
    <row r="8123" s="1" customFormat="1" ht="15" x14ac:dyDescent="0.25"/>
    <row r="8124" s="1" customFormat="1" ht="15" x14ac:dyDescent="0.25"/>
    <row r="8125" s="1" customFormat="1" ht="15" x14ac:dyDescent="0.25"/>
    <row r="8126" s="1" customFormat="1" ht="15" x14ac:dyDescent="0.25"/>
    <row r="8127" s="1" customFormat="1" ht="15" x14ac:dyDescent="0.25"/>
    <row r="8128" s="1" customFormat="1" ht="15" x14ac:dyDescent="0.25"/>
    <row r="8129" s="1" customFormat="1" ht="15" x14ac:dyDescent="0.25"/>
    <row r="8130" s="1" customFormat="1" ht="15" x14ac:dyDescent="0.25"/>
    <row r="8131" s="1" customFormat="1" ht="15" x14ac:dyDescent="0.25"/>
    <row r="8132" s="1" customFormat="1" ht="15" x14ac:dyDescent="0.25"/>
    <row r="8133" s="1" customFormat="1" ht="15" x14ac:dyDescent="0.25"/>
    <row r="8134" s="1" customFormat="1" ht="15" x14ac:dyDescent="0.25"/>
    <row r="8135" s="1" customFormat="1" ht="15" x14ac:dyDescent="0.25"/>
    <row r="8136" s="1" customFormat="1" ht="15" x14ac:dyDescent="0.25"/>
    <row r="8137" s="1" customFormat="1" ht="15" x14ac:dyDescent="0.25"/>
    <row r="8138" s="1" customFormat="1" ht="15" x14ac:dyDescent="0.25"/>
    <row r="8139" s="1" customFormat="1" ht="15" x14ac:dyDescent="0.25"/>
    <row r="8140" s="1" customFormat="1" ht="15" x14ac:dyDescent="0.25"/>
    <row r="8141" s="1" customFormat="1" ht="15" x14ac:dyDescent="0.25"/>
    <row r="8142" s="1" customFormat="1" ht="15" x14ac:dyDescent="0.25"/>
    <row r="8143" s="1" customFormat="1" ht="15" x14ac:dyDescent="0.25"/>
    <row r="8144" s="1" customFormat="1" ht="15" x14ac:dyDescent="0.25"/>
    <row r="8145" s="1" customFormat="1" ht="15" x14ac:dyDescent="0.25"/>
    <row r="8146" s="1" customFormat="1" ht="15" x14ac:dyDescent="0.25"/>
    <row r="8147" s="1" customFormat="1" ht="15" x14ac:dyDescent="0.25"/>
    <row r="8148" s="1" customFormat="1" ht="15" x14ac:dyDescent="0.25"/>
    <row r="8149" s="1" customFormat="1" ht="15" x14ac:dyDescent="0.25"/>
    <row r="8150" s="1" customFormat="1" ht="15" x14ac:dyDescent="0.25"/>
    <row r="8151" s="1" customFormat="1" ht="15" x14ac:dyDescent="0.25"/>
    <row r="8152" s="1" customFormat="1" ht="15" x14ac:dyDescent="0.25"/>
    <row r="8153" s="1" customFormat="1" ht="15" x14ac:dyDescent="0.25"/>
    <row r="8154" s="1" customFormat="1" ht="15" x14ac:dyDescent="0.25"/>
    <row r="8155" s="1" customFormat="1" ht="15" x14ac:dyDescent="0.25"/>
    <row r="8156" s="1" customFormat="1" ht="15" x14ac:dyDescent="0.25"/>
    <row r="8157" s="1" customFormat="1" ht="15" x14ac:dyDescent="0.25"/>
    <row r="8158" s="1" customFormat="1" ht="15" x14ac:dyDescent="0.25"/>
    <row r="8159" s="1" customFormat="1" ht="15" x14ac:dyDescent="0.25"/>
    <row r="8160" s="1" customFormat="1" ht="15" x14ac:dyDescent="0.25"/>
    <row r="8161" s="1" customFormat="1" ht="15" x14ac:dyDescent="0.25"/>
    <row r="8162" s="1" customFormat="1" ht="15" x14ac:dyDescent="0.25"/>
    <row r="8163" s="1" customFormat="1" ht="15" x14ac:dyDescent="0.25"/>
    <row r="8164" s="1" customFormat="1" ht="15" x14ac:dyDescent="0.25"/>
    <row r="8165" s="1" customFormat="1" ht="15" x14ac:dyDescent="0.25"/>
    <row r="8166" s="1" customFormat="1" ht="15" x14ac:dyDescent="0.25"/>
    <row r="8167" s="1" customFormat="1" ht="15" x14ac:dyDescent="0.25"/>
    <row r="8168" s="1" customFormat="1" ht="15" x14ac:dyDescent="0.25"/>
    <row r="8169" s="1" customFormat="1" ht="15" x14ac:dyDescent="0.25"/>
    <row r="8170" s="1" customFormat="1" ht="15" x14ac:dyDescent="0.25"/>
    <row r="8171" s="1" customFormat="1" ht="15" x14ac:dyDescent="0.25"/>
    <row r="8172" s="1" customFormat="1" ht="15" x14ac:dyDescent="0.25"/>
    <row r="8173" s="1" customFormat="1" ht="15" x14ac:dyDescent="0.25"/>
    <row r="8174" s="1" customFormat="1" ht="15" x14ac:dyDescent="0.25"/>
    <row r="8175" s="1" customFormat="1" ht="15" x14ac:dyDescent="0.25"/>
    <row r="8176" s="1" customFormat="1" ht="15" x14ac:dyDescent="0.25"/>
    <row r="8177" s="1" customFormat="1" ht="15" x14ac:dyDescent="0.25"/>
    <row r="8178" s="1" customFormat="1" ht="15" x14ac:dyDescent="0.25"/>
    <row r="8179" s="1" customFormat="1" ht="15" x14ac:dyDescent="0.25"/>
    <row r="8180" s="1" customFormat="1" ht="15" x14ac:dyDescent="0.25"/>
    <row r="8181" s="1" customFormat="1" ht="15" x14ac:dyDescent="0.25"/>
    <row r="8182" s="1" customFormat="1" ht="15" x14ac:dyDescent="0.25"/>
    <row r="8183" s="1" customFormat="1" ht="15" x14ac:dyDescent="0.25"/>
    <row r="8184" s="1" customFormat="1" ht="15" x14ac:dyDescent="0.25"/>
    <row r="8185" s="1" customFormat="1" ht="15" x14ac:dyDescent="0.25"/>
    <row r="8186" s="1" customFormat="1" ht="15" x14ac:dyDescent="0.25"/>
    <row r="8187" s="1" customFormat="1" ht="15" x14ac:dyDescent="0.25"/>
    <row r="8188" s="1" customFormat="1" ht="15" x14ac:dyDescent="0.25"/>
    <row r="8189" s="1" customFormat="1" ht="15" x14ac:dyDescent="0.25"/>
    <row r="8190" s="1" customFormat="1" ht="15" x14ac:dyDescent="0.25"/>
    <row r="8191" s="1" customFormat="1" ht="15" x14ac:dyDescent="0.25"/>
    <row r="8192" s="1" customFormat="1" ht="15" x14ac:dyDescent="0.25"/>
    <row r="8193" s="1" customFormat="1" ht="15" x14ac:dyDescent="0.25"/>
    <row r="8194" s="1" customFormat="1" ht="15" x14ac:dyDescent="0.25"/>
    <row r="8195" s="1" customFormat="1" ht="15" x14ac:dyDescent="0.25"/>
    <row r="8196" s="1" customFormat="1" ht="15" x14ac:dyDescent="0.25"/>
    <row r="8197" s="1" customFormat="1" ht="15" x14ac:dyDescent="0.25"/>
    <row r="8198" s="1" customFormat="1" ht="15" x14ac:dyDescent="0.25"/>
    <row r="8199" s="1" customFormat="1" ht="15" x14ac:dyDescent="0.25"/>
    <row r="8200" s="1" customFormat="1" ht="15" x14ac:dyDescent="0.25"/>
    <row r="8201" s="1" customFormat="1" ht="15" x14ac:dyDescent="0.25"/>
    <row r="8202" s="1" customFormat="1" ht="15" x14ac:dyDescent="0.25"/>
    <row r="8203" s="1" customFormat="1" ht="15" x14ac:dyDescent="0.25"/>
    <row r="8204" s="1" customFormat="1" ht="15" x14ac:dyDescent="0.25"/>
    <row r="8205" s="1" customFormat="1" ht="15" x14ac:dyDescent="0.25"/>
    <row r="8206" s="1" customFormat="1" ht="15" x14ac:dyDescent="0.25"/>
    <row r="8207" s="1" customFormat="1" ht="15" x14ac:dyDescent="0.25"/>
    <row r="8208" s="1" customFormat="1" ht="15" x14ac:dyDescent="0.25"/>
    <row r="8209" s="1" customFormat="1" ht="15" x14ac:dyDescent="0.25"/>
    <row r="8210" s="1" customFormat="1" ht="15" x14ac:dyDescent="0.25"/>
    <row r="8211" s="1" customFormat="1" ht="15" x14ac:dyDescent="0.25"/>
    <row r="8212" s="1" customFormat="1" ht="15" x14ac:dyDescent="0.25"/>
    <row r="8213" s="1" customFormat="1" ht="15" x14ac:dyDescent="0.25"/>
    <row r="8214" s="1" customFormat="1" ht="15" x14ac:dyDescent="0.25"/>
    <row r="8215" s="1" customFormat="1" ht="15" x14ac:dyDescent="0.25"/>
    <row r="8216" s="1" customFormat="1" ht="15" x14ac:dyDescent="0.25"/>
    <row r="8217" s="1" customFormat="1" ht="15" x14ac:dyDescent="0.25"/>
    <row r="8218" s="1" customFormat="1" ht="15" x14ac:dyDescent="0.25"/>
    <row r="8219" s="1" customFormat="1" ht="15" x14ac:dyDescent="0.25"/>
    <row r="8220" s="1" customFormat="1" ht="15" x14ac:dyDescent="0.25"/>
    <row r="8221" s="1" customFormat="1" ht="15" x14ac:dyDescent="0.25"/>
    <row r="8222" s="1" customFormat="1" ht="15" x14ac:dyDescent="0.25"/>
    <row r="8223" s="1" customFormat="1" ht="15" x14ac:dyDescent="0.25"/>
    <row r="8224" s="1" customFormat="1" ht="15" x14ac:dyDescent="0.25"/>
    <row r="8225" s="1" customFormat="1" ht="15" x14ac:dyDescent="0.25"/>
    <row r="8226" s="1" customFormat="1" ht="15" x14ac:dyDescent="0.25"/>
    <row r="8227" s="1" customFormat="1" ht="15" x14ac:dyDescent="0.25"/>
    <row r="8228" s="1" customFormat="1" ht="15" x14ac:dyDescent="0.25"/>
    <row r="8229" s="1" customFormat="1" ht="15" x14ac:dyDescent="0.25"/>
    <row r="8230" s="1" customFormat="1" ht="15" x14ac:dyDescent="0.25"/>
    <row r="8231" s="1" customFormat="1" ht="15" x14ac:dyDescent="0.25"/>
    <row r="8232" s="1" customFormat="1" ht="15" x14ac:dyDescent="0.25"/>
    <row r="8233" s="1" customFormat="1" ht="15" x14ac:dyDescent="0.25"/>
    <row r="8234" s="1" customFormat="1" ht="15" x14ac:dyDescent="0.25"/>
    <row r="8235" s="1" customFormat="1" ht="15" x14ac:dyDescent="0.25"/>
    <row r="8236" s="1" customFormat="1" ht="15" x14ac:dyDescent="0.25"/>
    <row r="8237" s="1" customFormat="1" ht="15" x14ac:dyDescent="0.25"/>
    <row r="8238" s="1" customFormat="1" ht="15" x14ac:dyDescent="0.25"/>
    <row r="8239" s="1" customFormat="1" ht="15" x14ac:dyDescent="0.25"/>
    <row r="8240" s="1" customFormat="1" ht="15" x14ac:dyDescent="0.25"/>
    <row r="8241" s="1" customFormat="1" ht="15" x14ac:dyDescent="0.25"/>
    <row r="8242" s="1" customFormat="1" ht="15" x14ac:dyDescent="0.25"/>
    <row r="8243" s="1" customFormat="1" ht="15" x14ac:dyDescent="0.25"/>
    <row r="8244" s="1" customFormat="1" ht="15" x14ac:dyDescent="0.25"/>
    <row r="8245" s="1" customFormat="1" ht="15" x14ac:dyDescent="0.25"/>
    <row r="8246" s="1" customFormat="1" ht="15" x14ac:dyDescent="0.25"/>
    <row r="8247" s="1" customFormat="1" ht="15" x14ac:dyDescent="0.25"/>
    <row r="8248" s="1" customFormat="1" ht="15" x14ac:dyDescent="0.25"/>
    <row r="8249" s="1" customFormat="1" ht="15" x14ac:dyDescent="0.25"/>
    <row r="8250" s="1" customFormat="1" ht="15" x14ac:dyDescent="0.25"/>
    <row r="8251" s="1" customFormat="1" ht="15" x14ac:dyDescent="0.25"/>
    <row r="8252" s="1" customFormat="1" ht="15" x14ac:dyDescent="0.25"/>
    <row r="8253" s="1" customFormat="1" ht="15" x14ac:dyDescent="0.25"/>
    <row r="8254" s="1" customFormat="1" ht="15" x14ac:dyDescent="0.25"/>
    <row r="8255" s="1" customFormat="1" ht="15" x14ac:dyDescent="0.25"/>
    <row r="8256" s="1" customFormat="1" ht="15" x14ac:dyDescent="0.25"/>
    <row r="8257" s="1" customFormat="1" ht="15" x14ac:dyDescent="0.25"/>
    <row r="8258" s="1" customFormat="1" ht="15" x14ac:dyDescent="0.25"/>
    <row r="8259" s="1" customFormat="1" ht="15" x14ac:dyDescent="0.25"/>
    <row r="8260" s="1" customFormat="1" ht="15" x14ac:dyDescent="0.25"/>
    <row r="8261" s="1" customFormat="1" ht="15" x14ac:dyDescent="0.25"/>
    <row r="8262" s="1" customFormat="1" ht="15" x14ac:dyDescent="0.25"/>
    <row r="8263" s="1" customFormat="1" ht="15" x14ac:dyDescent="0.25"/>
    <row r="8264" s="1" customFormat="1" ht="15" x14ac:dyDescent="0.25"/>
    <row r="8265" s="1" customFormat="1" ht="15" x14ac:dyDescent="0.25"/>
    <row r="8266" s="1" customFormat="1" ht="15" x14ac:dyDescent="0.25"/>
    <row r="8267" s="1" customFormat="1" ht="15" x14ac:dyDescent="0.25"/>
    <row r="8268" s="1" customFormat="1" ht="15" x14ac:dyDescent="0.25"/>
    <row r="8269" s="1" customFormat="1" ht="15" x14ac:dyDescent="0.25"/>
    <row r="8270" s="1" customFormat="1" ht="15" x14ac:dyDescent="0.25"/>
    <row r="8271" s="1" customFormat="1" ht="15" x14ac:dyDescent="0.25"/>
    <row r="8272" s="1" customFormat="1" ht="15" x14ac:dyDescent="0.25"/>
    <row r="8273" s="1" customFormat="1" ht="15" x14ac:dyDescent="0.25"/>
    <row r="8274" s="1" customFormat="1" ht="15" x14ac:dyDescent="0.25"/>
    <row r="8275" s="1" customFormat="1" ht="15" x14ac:dyDescent="0.25"/>
    <row r="8276" s="1" customFormat="1" ht="15" x14ac:dyDescent="0.25"/>
    <row r="8277" s="1" customFormat="1" ht="15" x14ac:dyDescent="0.25"/>
    <row r="8278" s="1" customFormat="1" ht="15" x14ac:dyDescent="0.25"/>
    <row r="8279" s="1" customFormat="1" ht="15" x14ac:dyDescent="0.25"/>
    <row r="8280" s="1" customFormat="1" ht="15" x14ac:dyDescent="0.25"/>
    <row r="8281" s="1" customFormat="1" ht="15" x14ac:dyDescent="0.25"/>
    <row r="8282" s="1" customFormat="1" ht="15" x14ac:dyDescent="0.25"/>
    <row r="8283" s="1" customFormat="1" ht="15" x14ac:dyDescent="0.25"/>
    <row r="8284" s="1" customFormat="1" ht="15" x14ac:dyDescent="0.25"/>
    <row r="8285" s="1" customFormat="1" ht="15" x14ac:dyDescent="0.25"/>
    <row r="8286" s="1" customFormat="1" ht="15" x14ac:dyDescent="0.25"/>
    <row r="8287" s="1" customFormat="1" ht="15" x14ac:dyDescent="0.25"/>
    <row r="8288" s="1" customFormat="1" ht="15" x14ac:dyDescent="0.25"/>
    <row r="8289" s="1" customFormat="1" ht="15" x14ac:dyDescent="0.25"/>
    <row r="8290" s="1" customFormat="1" ht="15" x14ac:dyDescent="0.25"/>
    <row r="8291" s="1" customFormat="1" ht="15" x14ac:dyDescent="0.25"/>
    <row r="8292" s="1" customFormat="1" ht="15" x14ac:dyDescent="0.25"/>
    <row r="8293" s="1" customFormat="1" ht="15" x14ac:dyDescent="0.25"/>
    <row r="8294" s="1" customFormat="1" ht="15" x14ac:dyDescent="0.25"/>
    <row r="8295" s="1" customFormat="1" ht="15" x14ac:dyDescent="0.25"/>
    <row r="8296" s="1" customFormat="1" ht="15" x14ac:dyDescent="0.25"/>
    <row r="8297" s="1" customFormat="1" ht="15" x14ac:dyDescent="0.25"/>
    <row r="8298" s="1" customFormat="1" ht="15" x14ac:dyDescent="0.25"/>
    <row r="8299" s="1" customFormat="1" ht="15" x14ac:dyDescent="0.25"/>
    <row r="8300" s="1" customFormat="1" ht="15" x14ac:dyDescent="0.25"/>
    <row r="8301" s="1" customFormat="1" ht="15" x14ac:dyDescent="0.25"/>
    <row r="8302" s="1" customFormat="1" ht="15" x14ac:dyDescent="0.25"/>
    <row r="8303" s="1" customFormat="1" ht="15" x14ac:dyDescent="0.25"/>
    <row r="8304" s="1" customFormat="1" ht="15" x14ac:dyDescent="0.25"/>
    <row r="8305" s="1" customFormat="1" ht="15" x14ac:dyDescent="0.25"/>
    <row r="8306" s="1" customFormat="1" ht="15" x14ac:dyDescent="0.25"/>
    <row r="8307" s="1" customFormat="1" ht="15" x14ac:dyDescent="0.25"/>
    <row r="8308" s="1" customFormat="1" ht="15" x14ac:dyDescent="0.25"/>
    <row r="8309" s="1" customFormat="1" ht="15" x14ac:dyDescent="0.25"/>
    <row r="8310" s="1" customFormat="1" ht="15" x14ac:dyDescent="0.25"/>
    <row r="8311" s="1" customFormat="1" ht="15" x14ac:dyDescent="0.25"/>
    <row r="8312" s="1" customFormat="1" ht="15" x14ac:dyDescent="0.25"/>
    <row r="8313" s="1" customFormat="1" ht="15" x14ac:dyDescent="0.25"/>
    <row r="8314" s="1" customFormat="1" ht="15" x14ac:dyDescent="0.25"/>
    <row r="8315" s="1" customFormat="1" ht="15" x14ac:dyDescent="0.25"/>
    <row r="8316" s="1" customFormat="1" ht="15" x14ac:dyDescent="0.25"/>
    <row r="8317" s="1" customFormat="1" ht="15" x14ac:dyDescent="0.25"/>
    <row r="8318" s="1" customFormat="1" ht="15" x14ac:dyDescent="0.25"/>
    <row r="8319" s="1" customFormat="1" ht="15" x14ac:dyDescent="0.25"/>
    <row r="8320" s="1" customFormat="1" ht="15" x14ac:dyDescent="0.25"/>
    <row r="8321" s="1" customFormat="1" ht="15" x14ac:dyDescent="0.25"/>
    <row r="8322" s="1" customFormat="1" ht="15" x14ac:dyDescent="0.25"/>
    <row r="8323" s="1" customFormat="1" ht="15" x14ac:dyDescent="0.25"/>
    <row r="8324" s="1" customFormat="1" ht="15" x14ac:dyDescent="0.25"/>
    <row r="8325" s="1" customFormat="1" ht="15" x14ac:dyDescent="0.25"/>
    <row r="8326" s="1" customFormat="1" ht="15" x14ac:dyDescent="0.25"/>
    <row r="8327" s="1" customFormat="1" ht="15" x14ac:dyDescent="0.25"/>
    <row r="8328" s="1" customFormat="1" ht="15" x14ac:dyDescent="0.25"/>
    <row r="8329" s="1" customFormat="1" ht="15" x14ac:dyDescent="0.25"/>
    <row r="8330" s="1" customFormat="1" ht="15" x14ac:dyDescent="0.25"/>
    <row r="8331" s="1" customFormat="1" ht="15" x14ac:dyDescent="0.25"/>
    <row r="8332" s="1" customFormat="1" ht="15" x14ac:dyDescent="0.25"/>
    <row r="8333" s="1" customFormat="1" ht="15" x14ac:dyDescent="0.25"/>
    <row r="8334" s="1" customFormat="1" ht="15" x14ac:dyDescent="0.25"/>
    <row r="8335" s="1" customFormat="1" ht="15" x14ac:dyDescent="0.25"/>
    <row r="8336" s="1" customFormat="1" ht="15" x14ac:dyDescent="0.25"/>
    <row r="8337" s="1" customFormat="1" ht="15" x14ac:dyDescent="0.25"/>
    <row r="8338" s="1" customFormat="1" ht="15" x14ac:dyDescent="0.25"/>
    <row r="8339" s="1" customFormat="1" ht="15" x14ac:dyDescent="0.25"/>
    <row r="8340" s="1" customFormat="1" ht="15" x14ac:dyDescent="0.25"/>
    <row r="8341" s="1" customFormat="1" ht="15" x14ac:dyDescent="0.25"/>
    <row r="8342" s="1" customFormat="1" ht="15" x14ac:dyDescent="0.25"/>
    <row r="8343" s="1" customFormat="1" ht="15" x14ac:dyDescent="0.25"/>
    <row r="8344" s="1" customFormat="1" ht="15" x14ac:dyDescent="0.25"/>
    <row r="8345" s="1" customFormat="1" ht="15" x14ac:dyDescent="0.25"/>
    <row r="8346" s="1" customFormat="1" ht="15" x14ac:dyDescent="0.25"/>
    <row r="8347" s="1" customFormat="1" ht="15" x14ac:dyDescent="0.25"/>
    <row r="8348" s="1" customFormat="1" ht="15" x14ac:dyDescent="0.25"/>
    <row r="8349" s="1" customFormat="1" ht="15" x14ac:dyDescent="0.25"/>
    <row r="8350" s="1" customFormat="1" ht="15" x14ac:dyDescent="0.25"/>
    <row r="8351" s="1" customFormat="1" ht="15" x14ac:dyDescent="0.25"/>
    <row r="8352" s="1" customFormat="1" ht="15" x14ac:dyDescent="0.25"/>
    <row r="8353" s="1" customFormat="1" ht="15" x14ac:dyDescent="0.25"/>
    <row r="8354" s="1" customFormat="1" ht="15" x14ac:dyDescent="0.25"/>
    <row r="8355" s="1" customFormat="1" ht="15" x14ac:dyDescent="0.25"/>
    <row r="8356" s="1" customFormat="1" ht="15" x14ac:dyDescent="0.25"/>
    <row r="8357" s="1" customFormat="1" ht="15" x14ac:dyDescent="0.25"/>
    <row r="8358" s="1" customFormat="1" ht="15" x14ac:dyDescent="0.25"/>
    <row r="8359" s="1" customFormat="1" ht="15" x14ac:dyDescent="0.25"/>
    <row r="8360" s="1" customFormat="1" ht="15" x14ac:dyDescent="0.25"/>
    <row r="8361" s="1" customFormat="1" ht="15" x14ac:dyDescent="0.25"/>
    <row r="8362" s="1" customFormat="1" ht="15" x14ac:dyDescent="0.25"/>
    <row r="8363" s="1" customFormat="1" ht="15" x14ac:dyDescent="0.25"/>
    <row r="8364" s="1" customFormat="1" ht="15" x14ac:dyDescent="0.25"/>
    <row r="8365" s="1" customFormat="1" ht="15" x14ac:dyDescent="0.25"/>
    <row r="8366" s="1" customFormat="1" ht="15" x14ac:dyDescent="0.25"/>
    <row r="8367" s="1" customFormat="1" ht="15" x14ac:dyDescent="0.25"/>
    <row r="8368" s="1" customFormat="1" ht="15" x14ac:dyDescent="0.25"/>
    <row r="8369" s="1" customFormat="1" ht="15" x14ac:dyDescent="0.25"/>
    <row r="8370" s="1" customFormat="1" ht="15" x14ac:dyDescent="0.25"/>
    <row r="8371" s="1" customFormat="1" ht="15" x14ac:dyDescent="0.25"/>
    <row r="8372" s="1" customFormat="1" ht="15" x14ac:dyDescent="0.25"/>
    <row r="8373" s="1" customFormat="1" ht="15" x14ac:dyDescent="0.25"/>
    <row r="8374" s="1" customFormat="1" ht="15" x14ac:dyDescent="0.25"/>
    <row r="8375" s="1" customFormat="1" ht="15" x14ac:dyDescent="0.25"/>
    <row r="8376" s="1" customFormat="1" ht="15" x14ac:dyDescent="0.25"/>
    <row r="8377" s="1" customFormat="1" ht="15" x14ac:dyDescent="0.25"/>
    <row r="8378" s="1" customFormat="1" ht="15" x14ac:dyDescent="0.25"/>
    <row r="8379" s="1" customFormat="1" ht="15" x14ac:dyDescent="0.25"/>
    <row r="8380" s="1" customFormat="1" ht="15" x14ac:dyDescent="0.25"/>
    <row r="8381" s="1" customFormat="1" ht="15" x14ac:dyDescent="0.25"/>
    <row r="8382" s="1" customFormat="1" ht="15" x14ac:dyDescent="0.25"/>
    <row r="8383" s="1" customFormat="1" ht="15" x14ac:dyDescent="0.25"/>
    <row r="8384" s="1" customFormat="1" ht="15" x14ac:dyDescent="0.25"/>
    <row r="8385" s="1" customFormat="1" ht="15" x14ac:dyDescent="0.25"/>
    <row r="8386" s="1" customFormat="1" ht="15" x14ac:dyDescent="0.25"/>
    <row r="8387" s="1" customFormat="1" ht="15" x14ac:dyDescent="0.25"/>
    <row r="8388" s="1" customFormat="1" ht="15" x14ac:dyDescent="0.25"/>
    <row r="8389" s="1" customFormat="1" ht="15" x14ac:dyDescent="0.25"/>
    <row r="8390" s="1" customFormat="1" ht="15" x14ac:dyDescent="0.25"/>
    <row r="8391" s="1" customFormat="1" ht="15" x14ac:dyDescent="0.25"/>
    <row r="8392" s="1" customFormat="1" ht="15" x14ac:dyDescent="0.25"/>
    <row r="8393" s="1" customFormat="1" ht="15" x14ac:dyDescent="0.25"/>
    <row r="8394" s="1" customFormat="1" ht="15" x14ac:dyDescent="0.25"/>
    <row r="8395" s="1" customFormat="1" ht="15" x14ac:dyDescent="0.25"/>
    <row r="8396" s="1" customFormat="1" ht="15" x14ac:dyDescent="0.25"/>
    <row r="8397" s="1" customFormat="1" ht="15" x14ac:dyDescent="0.25"/>
    <row r="8398" s="1" customFormat="1" ht="15" x14ac:dyDescent="0.25"/>
    <row r="8399" s="1" customFormat="1" ht="15" x14ac:dyDescent="0.25"/>
    <row r="8400" s="1" customFormat="1" ht="15" x14ac:dyDescent="0.25"/>
    <row r="8401" s="1" customFormat="1" ht="15" x14ac:dyDescent="0.25"/>
    <row r="8402" s="1" customFormat="1" ht="15" x14ac:dyDescent="0.25"/>
    <row r="8403" s="1" customFormat="1" ht="15" x14ac:dyDescent="0.25"/>
    <row r="8404" s="1" customFormat="1" ht="15" x14ac:dyDescent="0.25"/>
    <row r="8405" s="1" customFormat="1" ht="15" x14ac:dyDescent="0.25"/>
    <row r="8406" s="1" customFormat="1" ht="15" x14ac:dyDescent="0.25"/>
    <row r="8407" s="1" customFormat="1" ht="15" x14ac:dyDescent="0.25"/>
    <row r="8408" s="1" customFormat="1" ht="15" x14ac:dyDescent="0.25"/>
    <row r="8409" s="1" customFormat="1" ht="15" x14ac:dyDescent="0.25"/>
    <row r="8410" s="1" customFormat="1" ht="15" x14ac:dyDescent="0.25"/>
    <row r="8411" s="1" customFormat="1" ht="15" x14ac:dyDescent="0.25"/>
    <row r="8412" s="1" customFormat="1" ht="15" x14ac:dyDescent="0.25"/>
    <row r="8413" s="1" customFormat="1" ht="15" x14ac:dyDescent="0.25"/>
    <row r="8414" s="1" customFormat="1" ht="15" x14ac:dyDescent="0.25"/>
    <row r="8415" s="1" customFormat="1" ht="15" x14ac:dyDescent="0.25"/>
    <row r="8416" s="1" customFormat="1" ht="15" x14ac:dyDescent="0.25"/>
    <row r="8417" s="1" customFormat="1" ht="15" x14ac:dyDescent="0.25"/>
    <row r="8418" s="1" customFormat="1" ht="15" x14ac:dyDescent="0.25"/>
    <row r="8419" s="1" customFormat="1" ht="15" x14ac:dyDescent="0.25"/>
    <row r="8420" s="1" customFormat="1" ht="15" x14ac:dyDescent="0.25"/>
    <row r="8421" s="1" customFormat="1" ht="15" x14ac:dyDescent="0.25"/>
    <row r="8422" s="1" customFormat="1" ht="15" x14ac:dyDescent="0.25"/>
    <row r="8423" s="1" customFormat="1" ht="15" x14ac:dyDescent="0.25"/>
    <row r="8424" s="1" customFormat="1" ht="15" x14ac:dyDescent="0.25"/>
    <row r="8425" s="1" customFormat="1" ht="15" x14ac:dyDescent="0.25"/>
    <row r="8426" s="1" customFormat="1" ht="15" x14ac:dyDescent="0.25"/>
    <row r="8427" s="1" customFormat="1" ht="15" x14ac:dyDescent="0.25"/>
    <row r="8428" s="1" customFormat="1" ht="15" x14ac:dyDescent="0.25"/>
    <row r="8429" s="1" customFormat="1" ht="15" x14ac:dyDescent="0.25"/>
    <row r="8430" s="1" customFormat="1" ht="15" x14ac:dyDescent="0.25"/>
    <row r="8431" s="1" customFormat="1" ht="15" x14ac:dyDescent="0.25"/>
    <row r="8432" s="1" customFormat="1" ht="15" x14ac:dyDescent="0.25"/>
    <row r="8433" s="1" customFormat="1" ht="15" x14ac:dyDescent="0.25"/>
    <row r="8434" s="1" customFormat="1" ht="15" x14ac:dyDescent="0.25"/>
    <row r="8435" s="1" customFormat="1" ht="15" x14ac:dyDescent="0.25"/>
    <row r="8436" s="1" customFormat="1" ht="15" x14ac:dyDescent="0.25"/>
    <row r="8437" s="1" customFormat="1" ht="15" x14ac:dyDescent="0.25"/>
    <row r="8438" s="1" customFormat="1" ht="15" x14ac:dyDescent="0.25"/>
    <row r="8439" s="1" customFormat="1" ht="15" x14ac:dyDescent="0.25"/>
    <row r="8440" s="1" customFormat="1" ht="15" x14ac:dyDescent="0.25"/>
    <row r="8441" s="1" customFormat="1" ht="15" x14ac:dyDescent="0.25"/>
    <row r="8442" s="1" customFormat="1" ht="15" x14ac:dyDescent="0.25"/>
    <row r="8443" s="1" customFormat="1" ht="15" x14ac:dyDescent="0.25"/>
    <row r="8444" s="1" customFormat="1" ht="15" x14ac:dyDescent="0.25"/>
    <row r="8445" s="1" customFormat="1" ht="15" x14ac:dyDescent="0.25"/>
    <row r="8446" s="1" customFormat="1" ht="15" x14ac:dyDescent="0.25"/>
    <row r="8447" s="1" customFormat="1" ht="15" x14ac:dyDescent="0.25"/>
    <row r="8448" s="1" customFormat="1" ht="15" x14ac:dyDescent="0.25"/>
    <row r="8449" s="1" customFormat="1" ht="15" x14ac:dyDescent="0.25"/>
    <row r="8450" s="1" customFormat="1" ht="15" x14ac:dyDescent="0.25"/>
    <row r="8451" s="1" customFormat="1" ht="15" x14ac:dyDescent="0.25"/>
    <row r="8452" s="1" customFormat="1" ht="15" x14ac:dyDescent="0.25"/>
    <row r="8453" s="1" customFormat="1" ht="15" x14ac:dyDescent="0.25"/>
    <row r="8454" s="1" customFormat="1" ht="15" x14ac:dyDescent="0.25"/>
    <row r="8455" s="1" customFormat="1" ht="15" x14ac:dyDescent="0.25"/>
    <row r="8456" s="1" customFormat="1" ht="15" x14ac:dyDescent="0.25"/>
    <row r="8457" s="1" customFormat="1" ht="15" x14ac:dyDescent="0.25"/>
    <row r="8458" s="1" customFormat="1" ht="15" x14ac:dyDescent="0.25"/>
    <row r="8459" s="1" customFormat="1" ht="15" x14ac:dyDescent="0.25"/>
    <row r="8460" s="1" customFormat="1" ht="15" x14ac:dyDescent="0.25"/>
    <row r="8461" s="1" customFormat="1" ht="15" x14ac:dyDescent="0.25"/>
    <row r="8462" s="1" customFormat="1" ht="15" x14ac:dyDescent="0.25"/>
    <row r="8463" s="1" customFormat="1" ht="15" x14ac:dyDescent="0.25"/>
    <row r="8464" s="1" customFormat="1" ht="15" x14ac:dyDescent="0.25"/>
    <row r="8465" s="1" customFormat="1" ht="15" x14ac:dyDescent="0.25"/>
    <row r="8466" s="1" customFormat="1" ht="15" x14ac:dyDescent="0.25"/>
    <row r="8467" s="1" customFormat="1" ht="15" x14ac:dyDescent="0.25"/>
    <row r="8468" s="1" customFormat="1" ht="15" x14ac:dyDescent="0.25"/>
    <row r="8469" s="1" customFormat="1" ht="15" x14ac:dyDescent="0.25"/>
    <row r="8470" s="1" customFormat="1" ht="15" x14ac:dyDescent="0.25"/>
    <row r="8471" s="1" customFormat="1" ht="15" x14ac:dyDescent="0.25"/>
    <row r="8472" s="1" customFormat="1" ht="15" x14ac:dyDescent="0.25"/>
    <row r="8473" s="1" customFormat="1" ht="15" x14ac:dyDescent="0.25"/>
    <row r="8474" s="1" customFormat="1" ht="15" x14ac:dyDescent="0.25"/>
    <row r="8475" s="1" customFormat="1" ht="15" x14ac:dyDescent="0.25"/>
    <row r="8476" s="1" customFormat="1" ht="15" x14ac:dyDescent="0.25"/>
    <row r="8477" s="1" customFormat="1" ht="15" x14ac:dyDescent="0.25"/>
    <row r="8478" s="1" customFormat="1" ht="15" x14ac:dyDescent="0.25"/>
    <row r="8479" s="1" customFormat="1" ht="15" x14ac:dyDescent="0.25"/>
    <row r="8480" s="1" customFormat="1" ht="15" x14ac:dyDescent="0.25"/>
    <row r="8481" s="1" customFormat="1" ht="15" x14ac:dyDescent="0.25"/>
    <row r="8482" s="1" customFormat="1" ht="15" x14ac:dyDescent="0.25"/>
    <row r="8483" s="1" customFormat="1" ht="15" x14ac:dyDescent="0.25"/>
    <row r="8484" s="1" customFormat="1" ht="15" x14ac:dyDescent="0.25"/>
    <row r="8485" s="1" customFormat="1" ht="15" x14ac:dyDescent="0.25"/>
    <row r="8486" s="1" customFormat="1" ht="15" x14ac:dyDescent="0.25"/>
    <row r="8487" s="1" customFormat="1" ht="15" x14ac:dyDescent="0.25"/>
    <row r="8488" s="1" customFormat="1" ht="15" x14ac:dyDescent="0.25"/>
    <row r="8489" s="1" customFormat="1" ht="15" x14ac:dyDescent="0.25"/>
    <row r="8490" s="1" customFormat="1" ht="15" x14ac:dyDescent="0.25"/>
    <row r="8491" s="1" customFormat="1" ht="15" x14ac:dyDescent="0.25"/>
    <row r="8492" s="1" customFormat="1" ht="15" x14ac:dyDescent="0.25"/>
    <row r="8493" s="1" customFormat="1" ht="15" x14ac:dyDescent="0.25"/>
    <row r="8494" s="1" customFormat="1" ht="15" x14ac:dyDescent="0.25"/>
    <row r="8495" s="1" customFormat="1" ht="15" x14ac:dyDescent="0.25"/>
    <row r="8496" s="1" customFormat="1" ht="15" x14ac:dyDescent="0.25"/>
    <row r="8497" s="1" customFormat="1" ht="15" x14ac:dyDescent="0.25"/>
    <row r="8498" s="1" customFormat="1" ht="15" x14ac:dyDescent="0.25"/>
    <row r="8499" s="1" customFormat="1" ht="15" x14ac:dyDescent="0.25"/>
    <row r="8500" s="1" customFormat="1" ht="15" x14ac:dyDescent="0.25"/>
    <row r="8501" s="1" customFormat="1" ht="15" x14ac:dyDescent="0.25"/>
    <row r="8502" s="1" customFormat="1" ht="15" x14ac:dyDescent="0.25"/>
    <row r="8503" s="1" customFormat="1" ht="15" x14ac:dyDescent="0.25"/>
    <row r="8504" s="1" customFormat="1" ht="15" x14ac:dyDescent="0.25"/>
    <row r="8505" s="1" customFormat="1" ht="15" x14ac:dyDescent="0.25"/>
    <row r="8506" s="1" customFormat="1" ht="15" x14ac:dyDescent="0.25"/>
    <row r="8507" s="1" customFormat="1" ht="15" x14ac:dyDescent="0.25"/>
    <row r="8508" s="1" customFormat="1" ht="15" x14ac:dyDescent="0.25"/>
    <row r="8509" s="1" customFormat="1" ht="15" x14ac:dyDescent="0.25"/>
    <row r="8510" s="1" customFormat="1" ht="15" x14ac:dyDescent="0.25"/>
    <row r="8511" s="1" customFormat="1" ht="15" x14ac:dyDescent="0.25"/>
    <row r="8512" s="1" customFormat="1" ht="15" x14ac:dyDescent="0.25"/>
    <row r="8513" s="1" customFormat="1" ht="15" x14ac:dyDescent="0.25"/>
    <row r="8514" s="1" customFormat="1" ht="15" x14ac:dyDescent="0.25"/>
    <row r="8515" s="1" customFormat="1" ht="15" x14ac:dyDescent="0.25"/>
    <row r="8516" s="1" customFormat="1" ht="15" x14ac:dyDescent="0.25"/>
    <row r="8517" s="1" customFormat="1" ht="15" x14ac:dyDescent="0.25"/>
    <row r="8518" s="1" customFormat="1" ht="15" x14ac:dyDescent="0.25"/>
    <row r="8519" s="1" customFormat="1" ht="15" x14ac:dyDescent="0.25"/>
    <row r="8520" s="1" customFormat="1" ht="15" x14ac:dyDescent="0.25"/>
    <row r="8521" s="1" customFormat="1" ht="15" x14ac:dyDescent="0.25"/>
    <row r="8522" s="1" customFormat="1" ht="15" x14ac:dyDescent="0.25"/>
    <row r="8523" s="1" customFormat="1" ht="15" x14ac:dyDescent="0.25"/>
    <row r="8524" s="1" customFormat="1" ht="15" x14ac:dyDescent="0.25"/>
    <row r="8525" s="1" customFormat="1" ht="15" x14ac:dyDescent="0.25"/>
    <row r="8526" s="1" customFormat="1" ht="15" x14ac:dyDescent="0.25"/>
    <row r="8527" s="1" customFormat="1" ht="15" x14ac:dyDescent="0.25"/>
    <row r="8528" s="1" customFormat="1" ht="15" x14ac:dyDescent="0.25"/>
    <row r="8529" s="1" customFormat="1" ht="15" x14ac:dyDescent="0.25"/>
    <row r="8530" s="1" customFormat="1" ht="15" x14ac:dyDescent="0.25"/>
    <row r="8531" s="1" customFormat="1" ht="15" x14ac:dyDescent="0.25"/>
    <row r="8532" s="1" customFormat="1" ht="15" x14ac:dyDescent="0.25"/>
    <row r="8533" s="1" customFormat="1" ht="15" x14ac:dyDescent="0.25"/>
    <row r="8534" s="1" customFormat="1" ht="15" x14ac:dyDescent="0.25"/>
    <row r="8535" s="1" customFormat="1" ht="15" x14ac:dyDescent="0.25"/>
    <row r="8536" s="1" customFormat="1" ht="15" x14ac:dyDescent="0.25"/>
    <row r="8537" s="1" customFormat="1" ht="15" x14ac:dyDescent="0.25"/>
    <row r="8538" s="1" customFormat="1" ht="15" x14ac:dyDescent="0.25"/>
    <row r="8539" s="1" customFormat="1" ht="15" x14ac:dyDescent="0.25"/>
    <row r="8540" s="1" customFormat="1" ht="15" x14ac:dyDescent="0.25"/>
    <row r="8541" s="1" customFormat="1" ht="15" x14ac:dyDescent="0.25"/>
    <row r="8542" s="1" customFormat="1" ht="15" x14ac:dyDescent="0.25"/>
    <row r="8543" s="1" customFormat="1" ht="15" x14ac:dyDescent="0.25"/>
    <row r="8544" s="1" customFormat="1" ht="15" x14ac:dyDescent="0.25"/>
    <row r="8545" s="1" customFormat="1" ht="15" x14ac:dyDescent="0.25"/>
    <row r="8546" s="1" customFormat="1" ht="15" x14ac:dyDescent="0.25"/>
    <row r="8547" s="1" customFormat="1" ht="15" x14ac:dyDescent="0.25"/>
    <row r="8548" s="1" customFormat="1" ht="15" x14ac:dyDescent="0.25"/>
    <row r="8549" s="1" customFormat="1" ht="15" x14ac:dyDescent="0.25"/>
    <row r="8550" s="1" customFormat="1" ht="15" x14ac:dyDescent="0.25"/>
    <row r="8551" s="1" customFormat="1" ht="15" x14ac:dyDescent="0.25"/>
    <row r="8552" s="1" customFormat="1" ht="15" x14ac:dyDescent="0.25"/>
    <row r="8553" s="1" customFormat="1" ht="15" x14ac:dyDescent="0.25"/>
    <row r="8554" s="1" customFormat="1" ht="15" x14ac:dyDescent="0.25"/>
    <row r="8555" s="1" customFormat="1" ht="15" x14ac:dyDescent="0.25"/>
    <row r="8556" s="1" customFormat="1" ht="15" x14ac:dyDescent="0.25"/>
    <row r="8557" s="1" customFormat="1" ht="15" x14ac:dyDescent="0.25"/>
    <row r="8558" s="1" customFormat="1" ht="15" x14ac:dyDescent="0.25"/>
    <row r="8559" s="1" customFormat="1" ht="15" x14ac:dyDescent="0.25"/>
    <row r="8560" s="1" customFormat="1" ht="15" x14ac:dyDescent="0.25"/>
    <row r="8561" s="1" customFormat="1" ht="15" x14ac:dyDescent="0.25"/>
    <row r="8562" s="1" customFormat="1" ht="15" x14ac:dyDescent="0.25"/>
    <row r="8563" s="1" customFormat="1" ht="15" x14ac:dyDescent="0.25"/>
    <row r="8564" s="1" customFormat="1" ht="15" x14ac:dyDescent="0.25"/>
    <row r="8565" s="1" customFormat="1" ht="15" x14ac:dyDescent="0.25"/>
    <row r="8566" s="1" customFormat="1" ht="15" x14ac:dyDescent="0.25"/>
    <row r="8567" s="1" customFormat="1" ht="15" x14ac:dyDescent="0.25"/>
    <row r="8568" s="1" customFormat="1" ht="15" x14ac:dyDescent="0.25"/>
    <row r="8569" s="1" customFormat="1" ht="15" x14ac:dyDescent="0.25"/>
    <row r="8570" s="1" customFormat="1" ht="15" x14ac:dyDescent="0.25"/>
    <row r="8571" s="1" customFormat="1" ht="15" x14ac:dyDescent="0.25"/>
    <row r="8572" s="1" customFormat="1" ht="15" x14ac:dyDescent="0.25"/>
    <row r="8573" s="1" customFormat="1" ht="15" x14ac:dyDescent="0.25"/>
    <row r="8574" s="1" customFormat="1" ht="15" x14ac:dyDescent="0.25"/>
    <row r="8575" s="1" customFormat="1" ht="15" x14ac:dyDescent="0.25"/>
    <row r="8576" s="1" customFormat="1" ht="15" x14ac:dyDescent="0.25"/>
    <row r="8577" s="1" customFormat="1" ht="15" x14ac:dyDescent="0.25"/>
    <row r="8578" s="1" customFormat="1" ht="15" x14ac:dyDescent="0.25"/>
    <row r="8579" s="1" customFormat="1" ht="15" x14ac:dyDescent="0.25"/>
    <row r="8580" s="1" customFormat="1" ht="15" x14ac:dyDescent="0.25"/>
    <row r="8581" s="1" customFormat="1" ht="15" x14ac:dyDescent="0.25"/>
    <row r="8582" s="1" customFormat="1" ht="15" x14ac:dyDescent="0.25"/>
    <row r="8583" s="1" customFormat="1" ht="15" x14ac:dyDescent="0.25"/>
    <row r="8584" s="1" customFormat="1" ht="15" x14ac:dyDescent="0.25"/>
    <row r="8585" s="1" customFormat="1" ht="15" x14ac:dyDescent="0.25"/>
    <row r="8586" s="1" customFormat="1" ht="15" x14ac:dyDescent="0.25"/>
    <row r="8587" s="1" customFormat="1" ht="15" x14ac:dyDescent="0.25"/>
    <row r="8588" s="1" customFormat="1" ht="15" x14ac:dyDescent="0.25"/>
    <row r="8589" s="1" customFormat="1" ht="15" x14ac:dyDescent="0.25"/>
    <row r="8590" s="1" customFormat="1" ht="15" x14ac:dyDescent="0.25"/>
    <row r="8591" s="1" customFormat="1" ht="15" x14ac:dyDescent="0.25"/>
    <row r="8592" s="1" customFormat="1" ht="15" x14ac:dyDescent="0.25"/>
    <row r="8593" s="1" customFormat="1" ht="15" x14ac:dyDescent="0.25"/>
    <row r="8594" s="1" customFormat="1" ht="15" x14ac:dyDescent="0.25"/>
    <row r="8595" s="1" customFormat="1" ht="15" x14ac:dyDescent="0.25"/>
    <row r="8596" s="1" customFormat="1" ht="15" x14ac:dyDescent="0.25"/>
    <row r="8597" s="1" customFormat="1" ht="15" x14ac:dyDescent="0.25"/>
    <row r="8598" s="1" customFormat="1" ht="15" x14ac:dyDescent="0.25"/>
    <row r="8599" s="1" customFormat="1" ht="15" x14ac:dyDescent="0.25"/>
    <row r="8600" s="1" customFormat="1" ht="15" x14ac:dyDescent="0.25"/>
    <row r="8601" s="1" customFormat="1" ht="15" x14ac:dyDescent="0.25"/>
    <row r="8602" s="1" customFormat="1" ht="15" x14ac:dyDescent="0.25"/>
    <row r="8603" s="1" customFormat="1" ht="15" x14ac:dyDescent="0.25"/>
    <row r="8604" s="1" customFormat="1" ht="15" x14ac:dyDescent="0.25"/>
    <row r="8605" s="1" customFormat="1" ht="15" x14ac:dyDescent="0.25"/>
    <row r="8606" s="1" customFormat="1" ht="15" x14ac:dyDescent="0.25"/>
    <row r="8607" s="1" customFormat="1" ht="15" x14ac:dyDescent="0.25"/>
    <row r="8608" s="1" customFormat="1" ht="15" x14ac:dyDescent="0.25"/>
    <row r="8609" s="1" customFormat="1" ht="15" x14ac:dyDescent="0.25"/>
    <row r="8610" s="1" customFormat="1" ht="15" x14ac:dyDescent="0.25"/>
    <row r="8611" s="1" customFormat="1" ht="15" x14ac:dyDescent="0.25"/>
    <row r="8612" s="1" customFormat="1" ht="15" x14ac:dyDescent="0.25"/>
    <row r="8613" s="1" customFormat="1" ht="15" x14ac:dyDescent="0.25"/>
    <row r="8614" s="1" customFormat="1" ht="15" x14ac:dyDescent="0.25"/>
    <row r="8615" s="1" customFormat="1" ht="15" x14ac:dyDescent="0.25"/>
    <row r="8616" s="1" customFormat="1" ht="15" x14ac:dyDescent="0.25"/>
    <row r="8617" s="1" customFormat="1" ht="15" x14ac:dyDescent="0.25"/>
    <row r="8618" s="1" customFormat="1" ht="15" x14ac:dyDescent="0.25"/>
    <row r="8619" s="1" customFormat="1" ht="15" x14ac:dyDescent="0.25"/>
    <row r="8620" s="1" customFormat="1" ht="15" x14ac:dyDescent="0.25"/>
    <row r="8621" s="1" customFormat="1" ht="15" x14ac:dyDescent="0.25"/>
    <row r="8622" s="1" customFormat="1" ht="15" x14ac:dyDescent="0.25"/>
    <row r="8623" s="1" customFormat="1" ht="15" x14ac:dyDescent="0.25"/>
    <row r="8624" s="1" customFormat="1" ht="15" x14ac:dyDescent="0.25"/>
    <row r="8625" s="1" customFormat="1" ht="15" x14ac:dyDescent="0.25"/>
    <row r="8626" s="1" customFormat="1" ht="15" x14ac:dyDescent="0.25"/>
    <row r="8627" s="1" customFormat="1" ht="15" x14ac:dyDescent="0.25"/>
    <row r="8628" s="1" customFormat="1" ht="15" x14ac:dyDescent="0.25"/>
    <row r="8629" s="1" customFormat="1" ht="15" x14ac:dyDescent="0.25"/>
    <row r="8630" s="1" customFormat="1" ht="15" x14ac:dyDescent="0.25"/>
    <row r="8631" s="1" customFormat="1" ht="15" x14ac:dyDescent="0.25"/>
    <row r="8632" s="1" customFormat="1" ht="15" x14ac:dyDescent="0.25"/>
    <row r="8633" s="1" customFormat="1" ht="15" x14ac:dyDescent="0.25"/>
    <row r="8634" s="1" customFormat="1" ht="15" x14ac:dyDescent="0.25"/>
    <row r="8635" s="1" customFormat="1" ht="15" x14ac:dyDescent="0.25"/>
    <row r="8636" s="1" customFormat="1" ht="15" x14ac:dyDescent="0.25"/>
    <row r="8637" s="1" customFormat="1" ht="15" x14ac:dyDescent="0.25"/>
    <row r="8638" s="1" customFormat="1" ht="15" x14ac:dyDescent="0.25"/>
    <row r="8639" s="1" customFormat="1" ht="15" x14ac:dyDescent="0.25"/>
    <row r="8640" s="1" customFormat="1" ht="15" x14ac:dyDescent="0.25"/>
    <row r="8641" s="1" customFormat="1" ht="15" x14ac:dyDescent="0.25"/>
    <row r="8642" s="1" customFormat="1" ht="15" x14ac:dyDescent="0.25"/>
    <row r="8643" s="1" customFormat="1" ht="15" x14ac:dyDescent="0.25"/>
    <row r="8644" s="1" customFormat="1" ht="15" x14ac:dyDescent="0.25"/>
    <row r="8645" s="1" customFormat="1" ht="15" x14ac:dyDescent="0.25"/>
    <row r="8646" s="1" customFormat="1" ht="15" x14ac:dyDescent="0.25"/>
    <row r="8647" s="1" customFormat="1" ht="15" x14ac:dyDescent="0.25"/>
    <row r="8648" s="1" customFormat="1" ht="15" x14ac:dyDescent="0.25"/>
    <row r="8649" s="1" customFormat="1" ht="15" x14ac:dyDescent="0.25"/>
    <row r="8650" s="1" customFormat="1" ht="15" x14ac:dyDescent="0.25"/>
    <row r="8651" s="1" customFormat="1" ht="15" x14ac:dyDescent="0.25"/>
    <row r="8652" s="1" customFormat="1" ht="15" x14ac:dyDescent="0.25"/>
    <row r="8653" s="1" customFormat="1" ht="15" x14ac:dyDescent="0.25"/>
    <row r="8654" s="1" customFormat="1" ht="15" x14ac:dyDescent="0.25"/>
    <row r="8655" s="1" customFormat="1" ht="15" x14ac:dyDescent="0.25"/>
    <row r="8656" s="1" customFormat="1" ht="15" x14ac:dyDescent="0.25"/>
    <row r="8657" s="1" customFormat="1" ht="15" x14ac:dyDescent="0.25"/>
    <row r="8658" s="1" customFormat="1" ht="15" x14ac:dyDescent="0.25"/>
    <row r="8659" s="1" customFormat="1" ht="15" x14ac:dyDescent="0.25"/>
    <row r="8660" s="1" customFormat="1" ht="15" x14ac:dyDescent="0.25"/>
    <row r="8661" s="1" customFormat="1" ht="15" x14ac:dyDescent="0.25"/>
    <row r="8662" s="1" customFormat="1" ht="15" x14ac:dyDescent="0.25"/>
    <row r="8663" s="1" customFormat="1" ht="15" x14ac:dyDescent="0.25"/>
    <row r="8664" s="1" customFormat="1" ht="15" x14ac:dyDescent="0.25"/>
    <row r="8665" s="1" customFormat="1" ht="15" x14ac:dyDescent="0.25"/>
    <row r="8666" s="1" customFormat="1" ht="15" x14ac:dyDescent="0.25"/>
    <row r="8667" s="1" customFormat="1" ht="15" x14ac:dyDescent="0.25"/>
    <row r="8668" s="1" customFormat="1" ht="15" x14ac:dyDescent="0.25"/>
    <row r="8669" s="1" customFormat="1" ht="15" x14ac:dyDescent="0.25"/>
    <row r="8670" s="1" customFormat="1" ht="15" x14ac:dyDescent="0.25"/>
    <row r="8671" s="1" customFormat="1" ht="15" x14ac:dyDescent="0.25"/>
    <row r="8672" s="1" customFormat="1" ht="15" x14ac:dyDescent="0.25"/>
    <row r="8673" s="1" customFormat="1" ht="15" x14ac:dyDescent="0.25"/>
    <row r="8674" s="1" customFormat="1" ht="15" x14ac:dyDescent="0.25"/>
    <row r="8675" s="1" customFormat="1" ht="15" x14ac:dyDescent="0.25"/>
    <row r="8676" s="1" customFormat="1" ht="15" x14ac:dyDescent="0.25"/>
    <row r="8677" s="1" customFormat="1" ht="15" x14ac:dyDescent="0.25"/>
    <row r="8678" s="1" customFormat="1" ht="15" x14ac:dyDescent="0.25"/>
    <row r="8679" s="1" customFormat="1" ht="15" x14ac:dyDescent="0.25"/>
    <row r="8680" s="1" customFormat="1" ht="15" x14ac:dyDescent="0.25"/>
    <row r="8681" s="1" customFormat="1" ht="15" x14ac:dyDescent="0.25"/>
    <row r="8682" s="1" customFormat="1" ht="15" x14ac:dyDescent="0.25"/>
    <row r="8683" s="1" customFormat="1" ht="15" x14ac:dyDescent="0.25"/>
    <row r="8684" s="1" customFormat="1" ht="15" x14ac:dyDescent="0.25"/>
    <row r="8685" s="1" customFormat="1" ht="15" x14ac:dyDescent="0.25"/>
    <row r="8686" s="1" customFormat="1" ht="15" x14ac:dyDescent="0.25"/>
    <row r="8687" s="1" customFormat="1" ht="15" x14ac:dyDescent="0.25"/>
    <row r="8688" s="1" customFormat="1" ht="15" x14ac:dyDescent="0.25"/>
    <row r="8689" s="1" customFormat="1" ht="15" x14ac:dyDescent="0.25"/>
    <row r="8690" s="1" customFormat="1" ht="15" x14ac:dyDescent="0.25"/>
    <row r="8691" s="1" customFormat="1" ht="15" x14ac:dyDescent="0.25"/>
    <row r="8692" s="1" customFormat="1" ht="15" x14ac:dyDescent="0.25"/>
    <row r="8693" s="1" customFormat="1" ht="15" x14ac:dyDescent="0.25"/>
    <row r="8694" s="1" customFormat="1" ht="15" x14ac:dyDescent="0.25"/>
    <row r="8695" s="1" customFormat="1" ht="15" x14ac:dyDescent="0.25"/>
    <row r="8696" s="1" customFormat="1" ht="15" x14ac:dyDescent="0.25"/>
    <row r="8697" s="1" customFormat="1" ht="15" x14ac:dyDescent="0.25"/>
    <row r="8698" s="1" customFormat="1" ht="15" x14ac:dyDescent="0.25"/>
    <row r="8699" s="1" customFormat="1" ht="15" x14ac:dyDescent="0.25"/>
    <row r="8700" s="1" customFormat="1" ht="15" x14ac:dyDescent="0.25"/>
    <row r="8701" s="1" customFormat="1" ht="15" x14ac:dyDescent="0.25"/>
    <row r="8702" s="1" customFormat="1" ht="15" x14ac:dyDescent="0.25"/>
    <row r="8703" s="1" customFormat="1" ht="15" x14ac:dyDescent="0.25"/>
    <row r="8704" s="1" customFormat="1" ht="15" x14ac:dyDescent="0.25"/>
    <row r="8705" s="1" customFormat="1" ht="15" x14ac:dyDescent="0.25"/>
    <row r="8706" s="1" customFormat="1" ht="15" x14ac:dyDescent="0.25"/>
    <row r="8707" s="1" customFormat="1" ht="15" x14ac:dyDescent="0.25"/>
    <row r="8708" s="1" customFormat="1" ht="15" x14ac:dyDescent="0.25"/>
    <row r="8709" s="1" customFormat="1" ht="15" x14ac:dyDescent="0.25"/>
    <row r="8710" s="1" customFormat="1" ht="15" x14ac:dyDescent="0.25"/>
    <row r="8711" s="1" customFormat="1" ht="15" x14ac:dyDescent="0.25"/>
    <row r="8712" s="1" customFormat="1" ht="15" x14ac:dyDescent="0.25"/>
    <row r="8713" s="1" customFormat="1" ht="15" x14ac:dyDescent="0.25"/>
    <row r="8714" s="1" customFormat="1" ht="15" x14ac:dyDescent="0.25"/>
    <row r="8715" s="1" customFormat="1" ht="15" x14ac:dyDescent="0.25"/>
    <row r="8716" s="1" customFormat="1" ht="15" x14ac:dyDescent="0.25"/>
    <row r="8717" s="1" customFormat="1" ht="15" x14ac:dyDescent="0.25"/>
    <row r="8718" s="1" customFormat="1" ht="15" x14ac:dyDescent="0.25"/>
    <row r="8719" s="1" customFormat="1" ht="15" x14ac:dyDescent="0.25"/>
    <row r="8720" s="1" customFormat="1" ht="15" x14ac:dyDescent="0.25"/>
    <row r="8721" s="1" customFormat="1" ht="15" x14ac:dyDescent="0.25"/>
    <row r="8722" s="1" customFormat="1" ht="15" x14ac:dyDescent="0.25"/>
    <row r="8723" s="1" customFormat="1" ht="15" x14ac:dyDescent="0.25"/>
    <row r="8724" s="1" customFormat="1" ht="15" x14ac:dyDescent="0.25"/>
    <row r="8725" s="1" customFormat="1" ht="15" x14ac:dyDescent="0.25"/>
    <row r="8726" s="1" customFormat="1" ht="15" x14ac:dyDescent="0.25"/>
    <row r="8727" s="1" customFormat="1" ht="15" x14ac:dyDescent="0.25"/>
    <row r="8728" s="1" customFormat="1" ht="15" x14ac:dyDescent="0.25"/>
    <row r="8729" s="1" customFormat="1" ht="15" x14ac:dyDescent="0.25"/>
    <row r="8730" s="1" customFormat="1" ht="15" x14ac:dyDescent="0.25"/>
    <row r="8731" s="1" customFormat="1" ht="15" x14ac:dyDescent="0.25"/>
    <row r="8732" s="1" customFormat="1" ht="15" x14ac:dyDescent="0.25"/>
    <row r="8733" s="1" customFormat="1" ht="15" x14ac:dyDescent="0.25"/>
    <row r="8734" s="1" customFormat="1" ht="15" x14ac:dyDescent="0.25"/>
    <row r="8735" s="1" customFormat="1" ht="15" x14ac:dyDescent="0.25"/>
    <row r="8736" s="1" customFormat="1" ht="15" x14ac:dyDescent="0.25"/>
    <row r="8737" s="1" customFormat="1" ht="15" x14ac:dyDescent="0.25"/>
    <row r="8738" s="1" customFormat="1" ht="15" x14ac:dyDescent="0.25"/>
    <row r="8739" s="1" customFormat="1" ht="15" x14ac:dyDescent="0.25"/>
    <row r="8740" s="1" customFormat="1" ht="15" x14ac:dyDescent="0.25"/>
    <row r="8741" s="1" customFormat="1" ht="15" x14ac:dyDescent="0.25"/>
    <row r="8742" s="1" customFormat="1" ht="15" x14ac:dyDescent="0.25"/>
    <row r="8743" s="1" customFormat="1" ht="15" x14ac:dyDescent="0.25"/>
    <row r="8744" s="1" customFormat="1" ht="15" x14ac:dyDescent="0.25"/>
    <row r="8745" s="1" customFormat="1" ht="15" x14ac:dyDescent="0.25"/>
    <row r="8746" s="1" customFormat="1" ht="15" x14ac:dyDescent="0.25"/>
    <row r="8747" s="1" customFormat="1" ht="15" x14ac:dyDescent="0.25"/>
    <row r="8748" s="1" customFormat="1" ht="15" x14ac:dyDescent="0.25"/>
    <row r="8749" s="1" customFormat="1" ht="15" x14ac:dyDescent="0.25"/>
    <row r="8750" s="1" customFormat="1" ht="15" x14ac:dyDescent="0.25"/>
    <row r="8751" s="1" customFormat="1" ht="15" x14ac:dyDescent="0.25"/>
    <row r="8752" s="1" customFormat="1" ht="15" x14ac:dyDescent="0.25"/>
    <row r="8753" s="1" customFormat="1" ht="15" x14ac:dyDescent="0.25"/>
    <row r="8754" s="1" customFormat="1" ht="15" x14ac:dyDescent="0.25"/>
    <row r="8755" s="1" customFormat="1" ht="15" x14ac:dyDescent="0.25"/>
    <row r="8756" s="1" customFormat="1" ht="15" x14ac:dyDescent="0.25"/>
    <row r="8757" s="1" customFormat="1" ht="15" x14ac:dyDescent="0.25"/>
    <row r="8758" s="1" customFormat="1" ht="15" x14ac:dyDescent="0.25"/>
    <row r="8759" s="1" customFormat="1" ht="15" x14ac:dyDescent="0.25"/>
    <row r="8760" s="1" customFormat="1" ht="15" x14ac:dyDescent="0.25"/>
    <row r="8761" s="1" customFormat="1" ht="15" x14ac:dyDescent="0.25"/>
    <row r="8762" s="1" customFormat="1" ht="15" x14ac:dyDescent="0.25"/>
    <row r="8763" s="1" customFormat="1" ht="15" x14ac:dyDescent="0.25"/>
    <row r="8764" s="1" customFormat="1" ht="15" x14ac:dyDescent="0.25"/>
    <row r="8765" s="1" customFormat="1" ht="15" x14ac:dyDescent="0.25"/>
    <row r="8766" s="1" customFormat="1" ht="15" x14ac:dyDescent="0.25"/>
    <row r="8767" s="1" customFormat="1" ht="15" x14ac:dyDescent="0.25"/>
    <row r="8768" s="1" customFormat="1" ht="15" x14ac:dyDescent="0.25"/>
    <row r="8769" s="1" customFormat="1" ht="15" x14ac:dyDescent="0.25"/>
    <row r="8770" s="1" customFormat="1" ht="15" x14ac:dyDescent="0.25"/>
    <row r="8771" s="1" customFormat="1" ht="15" x14ac:dyDescent="0.25"/>
    <row r="8772" s="1" customFormat="1" ht="15" x14ac:dyDescent="0.25"/>
    <row r="8773" s="1" customFormat="1" ht="15" x14ac:dyDescent="0.25"/>
    <row r="8774" s="1" customFormat="1" ht="15" x14ac:dyDescent="0.25"/>
    <row r="8775" s="1" customFormat="1" ht="15" x14ac:dyDescent="0.25"/>
    <row r="8776" s="1" customFormat="1" ht="15" x14ac:dyDescent="0.25"/>
    <row r="8777" s="1" customFormat="1" ht="15" x14ac:dyDescent="0.25"/>
    <row r="8778" s="1" customFormat="1" ht="15" x14ac:dyDescent="0.25"/>
    <row r="8779" s="1" customFormat="1" ht="15" x14ac:dyDescent="0.25"/>
    <row r="8780" s="1" customFormat="1" ht="15" x14ac:dyDescent="0.25"/>
    <row r="8781" s="1" customFormat="1" ht="15" x14ac:dyDescent="0.25"/>
    <row r="8782" s="1" customFormat="1" ht="15" x14ac:dyDescent="0.25"/>
    <row r="8783" s="1" customFormat="1" ht="15" x14ac:dyDescent="0.25"/>
    <row r="8784" s="1" customFormat="1" ht="15" x14ac:dyDescent="0.25"/>
    <row r="8785" s="1" customFormat="1" ht="15" x14ac:dyDescent="0.25"/>
    <row r="8786" s="1" customFormat="1" ht="15" x14ac:dyDescent="0.25"/>
    <row r="8787" s="1" customFormat="1" ht="15" x14ac:dyDescent="0.25"/>
    <row r="8788" s="1" customFormat="1" ht="15" x14ac:dyDescent="0.25"/>
    <row r="8789" s="1" customFormat="1" ht="15" x14ac:dyDescent="0.25"/>
    <row r="8790" s="1" customFormat="1" ht="15" x14ac:dyDescent="0.25"/>
    <row r="8791" s="1" customFormat="1" ht="15" x14ac:dyDescent="0.25"/>
    <row r="8792" s="1" customFormat="1" ht="15" x14ac:dyDescent="0.25"/>
    <row r="8793" s="1" customFormat="1" ht="15" x14ac:dyDescent="0.25"/>
    <row r="8794" s="1" customFormat="1" ht="15" x14ac:dyDescent="0.25"/>
    <row r="8795" s="1" customFormat="1" ht="15" x14ac:dyDescent="0.25"/>
    <row r="8796" s="1" customFormat="1" ht="15" x14ac:dyDescent="0.25"/>
    <row r="8797" s="1" customFormat="1" ht="15" x14ac:dyDescent="0.25"/>
    <row r="8798" s="1" customFormat="1" ht="15" x14ac:dyDescent="0.25"/>
    <row r="8799" s="1" customFormat="1" ht="15" x14ac:dyDescent="0.25"/>
    <row r="8800" s="1" customFormat="1" ht="15" x14ac:dyDescent="0.25"/>
    <row r="8801" s="1" customFormat="1" ht="15" x14ac:dyDescent="0.25"/>
    <row r="8802" s="1" customFormat="1" ht="15" x14ac:dyDescent="0.25"/>
    <row r="8803" s="1" customFormat="1" ht="15" x14ac:dyDescent="0.25"/>
    <row r="8804" s="1" customFormat="1" ht="15" x14ac:dyDescent="0.25"/>
    <row r="8805" s="1" customFormat="1" ht="15" x14ac:dyDescent="0.25"/>
    <row r="8806" s="1" customFormat="1" ht="15" x14ac:dyDescent="0.25"/>
    <row r="8807" s="1" customFormat="1" ht="15" x14ac:dyDescent="0.25"/>
    <row r="8808" s="1" customFormat="1" ht="15" x14ac:dyDescent="0.25"/>
    <row r="8809" s="1" customFormat="1" ht="15" x14ac:dyDescent="0.25"/>
    <row r="8810" s="1" customFormat="1" ht="15" x14ac:dyDescent="0.25"/>
    <row r="8811" s="1" customFormat="1" ht="15" x14ac:dyDescent="0.25"/>
    <row r="8812" s="1" customFormat="1" ht="15" x14ac:dyDescent="0.25"/>
    <row r="8813" s="1" customFormat="1" ht="15" x14ac:dyDescent="0.25"/>
    <row r="8814" s="1" customFormat="1" ht="15" x14ac:dyDescent="0.25"/>
    <row r="8815" s="1" customFormat="1" ht="15" x14ac:dyDescent="0.25"/>
    <row r="8816" s="1" customFormat="1" ht="15" x14ac:dyDescent="0.25"/>
    <row r="8817" s="1" customFormat="1" ht="15" x14ac:dyDescent="0.25"/>
    <row r="8818" s="1" customFormat="1" ht="15" x14ac:dyDescent="0.25"/>
    <row r="8819" s="1" customFormat="1" ht="15" x14ac:dyDescent="0.25"/>
    <row r="8820" s="1" customFormat="1" ht="15" x14ac:dyDescent="0.25"/>
    <row r="8821" s="1" customFormat="1" ht="15" x14ac:dyDescent="0.25"/>
    <row r="8822" s="1" customFormat="1" ht="15" x14ac:dyDescent="0.25"/>
    <row r="8823" s="1" customFormat="1" ht="15" x14ac:dyDescent="0.25"/>
    <row r="8824" s="1" customFormat="1" ht="15" x14ac:dyDescent="0.25"/>
    <row r="8825" s="1" customFormat="1" ht="15" x14ac:dyDescent="0.25"/>
    <row r="8826" s="1" customFormat="1" ht="15" x14ac:dyDescent="0.25"/>
    <row r="8827" s="1" customFormat="1" ht="15" x14ac:dyDescent="0.25"/>
    <row r="8828" s="1" customFormat="1" ht="15" x14ac:dyDescent="0.25"/>
    <row r="8829" s="1" customFormat="1" ht="15" x14ac:dyDescent="0.25"/>
    <row r="8830" s="1" customFormat="1" ht="15" x14ac:dyDescent="0.25"/>
    <row r="8831" s="1" customFormat="1" ht="15" x14ac:dyDescent="0.25"/>
    <row r="8832" s="1" customFormat="1" ht="15" x14ac:dyDescent="0.25"/>
    <row r="8833" s="1" customFormat="1" ht="15" x14ac:dyDescent="0.25"/>
    <row r="8834" s="1" customFormat="1" ht="15" x14ac:dyDescent="0.25"/>
    <row r="8835" s="1" customFormat="1" ht="15" x14ac:dyDescent="0.25"/>
    <row r="8836" s="1" customFormat="1" ht="15" x14ac:dyDescent="0.25"/>
    <row r="8837" s="1" customFormat="1" ht="15" x14ac:dyDescent="0.25"/>
    <row r="8838" s="1" customFormat="1" ht="15" x14ac:dyDescent="0.25"/>
    <row r="8839" s="1" customFormat="1" ht="15" x14ac:dyDescent="0.25"/>
    <row r="8840" s="1" customFormat="1" ht="15" x14ac:dyDescent="0.25"/>
    <row r="8841" s="1" customFormat="1" ht="15" x14ac:dyDescent="0.25"/>
    <row r="8842" s="1" customFormat="1" ht="15" x14ac:dyDescent="0.25"/>
    <row r="8843" s="1" customFormat="1" ht="15" x14ac:dyDescent="0.25"/>
    <row r="8844" s="1" customFormat="1" ht="15" x14ac:dyDescent="0.25"/>
    <row r="8845" s="1" customFormat="1" ht="15" x14ac:dyDescent="0.25"/>
    <row r="8846" s="1" customFormat="1" ht="15" x14ac:dyDescent="0.25"/>
    <row r="8847" s="1" customFormat="1" ht="15" x14ac:dyDescent="0.25"/>
    <row r="8848" s="1" customFormat="1" ht="15" x14ac:dyDescent="0.25"/>
    <row r="8849" s="1" customFormat="1" ht="15" x14ac:dyDescent="0.25"/>
    <row r="8850" s="1" customFormat="1" ht="15" x14ac:dyDescent="0.25"/>
    <row r="8851" s="1" customFormat="1" ht="15" x14ac:dyDescent="0.25"/>
    <row r="8852" s="1" customFormat="1" ht="15" x14ac:dyDescent="0.25"/>
    <row r="8853" s="1" customFormat="1" ht="15" x14ac:dyDescent="0.25"/>
    <row r="8854" s="1" customFormat="1" ht="15" x14ac:dyDescent="0.25"/>
    <row r="8855" s="1" customFormat="1" ht="15" x14ac:dyDescent="0.25"/>
    <row r="8856" s="1" customFormat="1" ht="15" x14ac:dyDescent="0.25"/>
    <row r="8857" s="1" customFormat="1" ht="15" x14ac:dyDescent="0.25"/>
    <row r="8858" s="1" customFormat="1" ht="15" x14ac:dyDescent="0.25"/>
    <row r="8859" s="1" customFormat="1" ht="15" x14ac:dyDescent="0.25"/>
    <row r="8860" s="1" customFormat="1" ht="15" x14ac:dyDescent="0.25"/>
    <row r="8861" s="1" customFormat="1" ht="15" x14ac:dyDescent="0.25"/>
    <row r="8862" s="1" customFormat="1" ht="15" x14ac:dyDescent="0.25"/>
    <row r="8863" s="1" customFormat="1" ht="15" x14ac:dyDescent="0.25"/>
    <row r="8864" s="1" customFormat="1" ht="15" x14ac:dyDescent="0.25"/>
    <row r="8865" s="1" customFormat="1" ht="15" x14ac:dyDescent="0.25"/>
    <row r="8866" s="1" customFormat="1" ht="15" x14ac:dyDescent="0.25"/>
    <row r="8867" s="1" customFormat="1" ht="15" x14ac:dyDescent="0.25"/>
    <row r="8868" s="1" customFormat="1" ht="15" x14ac:dyDescent="0.25"/>
    <row r="8869" s="1" customFormat="1" ht="15" x14ac:dyDescent="0.25"/>
    <row r="8870" s="1" customFormat="1" ht="15" x14ac:dyDescent="0.25"/>
    <row r="8871" s="1" customFormat="1" ht="15" x14ac:dyDescent="0.25"/>
    <row r="8872" s="1" customFormat="1" ht="15" x14ac:dyDescent="0.25"/>
    <row r="8873" s="1" customFormat="1" ht="15" x14ac:dyDescent="0.25"/>
    <row r="8874" s="1" customFormat="1" ht="15" x14ac:dyDescent="0.25"/>
    <row r="8875" s="1" customFormat="1" ht="15" x14ac:dyDescent="0.25"/>
    <row r="8876" s="1" customFormat="1" ht="15" x14ac:dyDescent="0.25"/>
    <row r="8877" s="1" customFormat="1" ht="15" x14ac:dyDescent="0.25"/>
    <row r="8878" s="1" customFormat="1" ht="15" x14ac:dyDescent="0.25"/>
    <row r="8879" s="1" customFormat="1" ht="15" x14ac:dyDescent="0.25"/>
    <row r="8880" s="1" customFormat="1" ht="15" x14ac:dyDescent="0.25"/>
    <row r="8881" s="1" customFormat="1" ht="15" x14ac:dyDescent="0.25"/>
    <row r="8882" s="1" customFormat="1" ht="15" x14ac:dyDescent="0.25"/>
    <row r="8883" s="1" customFormat="1" ht="15" x14ac:dyDescent="0.25"/>
    <row r="8884" s="1" customFormat="1" ht="15" x14ac:dyDescent="0.25"/>
    <row r="8885" s="1" customFormat="1" ht="15" x14ac:dyDescent="0.25"/>
    <row r="8886" s="1" customFormat="1" ht="15" x14ac:dyDescent="0.25"/>
    <row r="8887" s="1" customFormat="1" ht="15" x14ac:dyDescent="0.25"/>
    <row r="8888" s="1" customFormat="1" ht="15" x14ac:dyDescent="0.25"/>
    <row r="8889" s="1" customFormat="1" ht="15" x14ac:dyDescent="0.25"/>
    <row r="8890" s="1" customFormat="1" ht="15" x14ac:dyDescent="0.25"/>
    <row r="8891" s="1" customFormat="1" ht="15" x14ac:dyDescent="0.25"/>
    <row r="8892" s="1" customFormat="1" ht="15" x14ac:dyDescent="0.25"/>
    <row r="8893" s="1" customFormat="1" ht="15" x14ac:dyDescent="0.25"/>
    <row r="8894" s="1" customFormat="1" ht="15" x14ac:dyDescent="0.25"/>
    <row r="8895" s="1" customFormat="1" ht="15" x14ac:dyDescent="0.25"/>
    <row r="8896" s="1" customFormat="1" ht="15" x14ac:dyDescent="0.25"/>
    <row r="8897" s="1" customFormat="1" ht="15" x14ac:dyDescent="0.25"/>
    <row r="8898" s="1" customFormat="1" ht="15" x14ac:dyDescent="0.25"/>
    <row r="8899" s="1" customFormat="1" ht="15" x14ac:dyDescent="0.25"/>
    <row r="8900" s="1" customFormat="1" ht="15" x14ac:dyDescent="0.25"/>
    <row r="8901" s="1" customFormat="1" ht="15" x14ac:dyDescent="0.25"/>
    <row r="8902" s="1" customFormat="1" ht="15" x14ac:dyDescent="0.25"/>
    <row r="8903" s="1" customFormat="1" ht="15" x14ac:dyDescent="0.25"/>
    <row r="8904" s="1" customFormat="1" ht="15" x14ac:dyDescent="0.25"/>
    <row r="8905" s="1" customFormat="1" ht="15" x14ac:dyDescent="0.25"/>
    <row r="8906" s="1" customFormat="1" ht="15" x14ac:dyDescent="0.25"/>
    <row r="8907" s="1" customFormat="1" ht="15" x14ac:dyDescent="0.25"/>
    <row r="8908" s="1" customFormat="1" ht="15" x14ac:dyDescent="0.25"/>
    <row r="8909" s="1" customFormat="1" ht="15" x14ac:dyDescent="0.25"/>
    <row r="8910" s="1" customFormat="1" ht="15" x14ac:dyDescent="0.25"/>
    <row r="8911" s="1" customFormat="1" ht="15" x14ac:dyDescent="0.25"/>
    <row r="8912" s="1" customFormat="1" ht="15" x14ac:dyDescent="0.25"/>
    <row r="8913" s="1" customFormat="1" ht="15" x14ac:dyDescent="0.25"/>
    <row r="8914" s="1" customFormat="1" ht="15" x14ac:dyDescent="0.25"/>
    <row r="8915" s="1" customFormat="1" ht="15" x14ac:dyDescent="0.25"/>
    <row r="8916" s="1" customFormat="1" ht="15" x14ac:dyDescent="0.25"/>
    <row r="8917" s="1" customFormat="1" ht="15" x14ac:dyDescent="0.25"/>
    <row r="8918" s="1" customFormat="1" ht="15" x14ac:dyDescent="0.25"/>
    <row r="8919" s="1" customFormat="1" ht="15" x14ac:dyDescent="0.25"/>
    <row r="8920" s="1" customFormat="1" ht="15" x14ac:dyDescent="0.25"/>
    <row r="8921" s="1" customFormat="1" ht="15" x14ac:dyDescent="0.25"/>
    <row r="8922" s="1" customFormat="1" ht="15" x14ac:dyDescent="0.25"/>
    <row r="8923" s="1" customFormat="1" ht="15" x14ac:dyDescent="0.25"/>
    <row r="8924" s="1" customFormat="1" ht="15" x14ac:dyDescent="0.25"/>
    <row r="8925" s="1" customFormat="1" ht="15" x14ac:dyDescent="0.25"/>
    <row r="8926" s="1" customFormat="1" ht="15" x14ac:dyDescent="0.25"/>
    <row r="8927" s="1" customFormat="1" ht="15" x14ac:dyDescent="0.25"/>
    <row r="8928" s="1" customFormat="1" ht="15" x14ac:dyDescent="0.25"/>
    <row r="8929" s="1" customFormat="1" ht="15" x14ac:dyDescent="0.25"/>
    <row r="8930" s="1" customFormat="1" ht="15" x14ac:dyDescent="0.25"/>
    <row r="8931" s="1" customFormat="1" ht="15" x14ac:dyDescent="0.25"/>
    <row r="8932" s="1" customFormat="1" ht="15" x14ac:dyDescent="0.25"/>
    <row r="8933" s="1" customFormat="1" ht="15" x14ac:dyDescent="0.25"/>
    <row r="8934" s="1" customFormat="1" ht="15" x14ac:dyDescent="0.25"/>
    <row r="8935" s="1" customFormat="1" ht="15" x14ac:dyDescent="0.25"/>
    <row r="8936" s="1" customFormat="1" ht="15" x14ac:dyDescent="0.25"/>
    <row r="8937" s="1" customFormat="1" ht="15" x14ac:dyDescent="0.25"/>
    <row r="8938" s="1" customFormat="1" ht="15" x14ac:dyDescent="0.25"/>
    <row r="8939" s="1" customFormat="1" ht="15" x14ac:dyDescent="0.25"/>
    <row r="8940" s="1" customFormat="1" ht="15" x14ac:dyDescent="0.25"/>
    <row r="8941" s="1" customFormat="1" ht="15" x14ac:dyDescent="0.25"/>
    <row r="8942" s="1" customFormat="1" ht="15" x14ac:dyDescent="0.25"/>
    <row r="8943" s="1" customFormat="1" ht="15" x14ac:dyDescent="0.25"/>
    <row r="8944" s="1" customFormat="1" ht="15" x14ac:dyDescent="0.25"/>
    <row r="8945" s="1" customFormat="1" ht="15" x14ac:dyDescent="0.25"/>
    <row r="8946" s="1" customFormat="1" ht="15" x14ac:dyDescent="0.25"/>
    <row r="8947" s="1" customFormat="1" ht="15" x14ac:dyDescent="0.25"/>
    <row r="8948" s="1" customFormat="1" ht="15" x14ac:dyDescent="0.25"/>
    <row r="8949" s="1" customFormat="1" ht="15" x14ac:dyDescent="0.25"/>
    <row r="8950" s="1" customFormat="1" ht="15" x14ac:dyDescent="0.25"/>
    <row r="8951" s="1" customFormat="1" ht="15" x14ac:dyDescent="0.25"/>
    <row r="8952" s="1" customFormat="1" ht="15" x14ac:dyDescent="0.25"/>
    <row r="8953" s="1" customFormat="1" ht="15" x14ac:dyDescent="0.25"/>
    <row r="8954" s="1" customFormat="1" ht="15" x14ac:dyDescent="0.25"/>
    <row r="8955" s="1" customFormat="1" ht="15" x14ac:dyDescent="0.25"/>
    <row r="8956" s="1" customFormat="1" ht="15" x14ac:dyDescent="0.25"/>
    <row r="8957" s="1" customFormat="1" ht="15" x14ac:dyDescent="0.25"/>
    <row r="8958" s="1" customFormat="1" ht="15" x14ac:dyDescent="0.25"/>
    <row r="8959" s="1" customFormat="1" ht="15" x14ac:dyDescent="0.25"/>
    <row r="8960" s="1" customFormat="1" ht="15" x14ac:dyDescent="0.25"/>
    <row r="8961" s="1" customFormat="1" ht="15" x14ac:dyDescent="0.25"/>
    <row r="8962" s="1" customFormat="1" ht="15" x14ac:dyDescent="0.25"/>
    <row r="8963" s="1" customFormat="1" ht="15" x14ac:dyDescent="0.25"/>
    <row r="8964" s="1" customFormat="1" ht="15" x14ac:dyDescent="0.25"/>
    <row r="8965" s="1" customFormat="1" ht="15" x14ac:dyDescent="0.25"/>
    <row r="8966" s="1" customFormat="1" ht="15" x14ac:dyDescent="0.25"/>
    <row r="8967" s="1" customFormat="1" ht="15" x14ac:dyDescent="0.25"/>
    <row r="8968" s="1" customFormat="1" ht="15" x14ac:dyDescent="0.25"/>
    <row r="8969" s="1" customFormat="1" ht="15" x14ac:dyDescent="0.25"/>
    <row r="8970" s="1" customFormat="1" ht="15" x14ac:dyDescent="0.25"/>
    <row r="8971" s="1" customFormat="1" ht="15" x14ac:dyDescent="0.25"/>
    <row r="8972" s="1" customFormat="1" ht="15" x14ac:dyDescent="0.25"/>
    <row r="8973" s="1" customFormat="1" ht="15" x14ac:dyDescent="0.25"/>
    <row r="8974" s="1" customFormat="1" ht="15" x14ac:dyDescent="0.25"/>
    <row r="8975" s="1" customFormat="1" ht="15" x14ac:dyDescent="0.25"/>
    <row r="8976" s="1" customFormat="1" ht="15" x14ac:dyDescent="0.25"/>
    <row r="8977" s="1" customFormat="1" ht="15" x14ac:dyDescent="0.25"/>
    <row r="8978" s="1" customFormat="1" ht="15" x14ac:dyDescent="0.25"/>
    <row r="8979" s="1" customFormat="1" ht="15" x14ac:dyDescent="0.25"/>
    <row r="8980" s="1" customFormat="1" ht="15" x14ac:dyDescent="0.25"/>
    <row r="8981" s="1" customFormat="1" ht="15" x14ac:dyDescent="0.25"/>
    <row r="8982" s="1" customFormat="1" ht="15" x14ac:dyDescent="0.25"/>
    <row r="8983" s="1" customFormat="1" ht="15" x14ac:dyDescent="0.25"/>
    <row r="8984" s="1" customFormat="1" ht="15" x14ac:dyDescent="0.25"/>
    <row r="8985" s="1" customFormat="1" ht="15" x14ac:dyDescent="0.25"/>
    <row r="8986" s="1" customFormat="1" ht="15" x14ac:dyDescent="0.25"/>
    <row r="8987" s="1" customFormat="1" ht="15" x14ac:dyDescent="0.25"/>
    <row r="8988" s="1" customFormat="1" ht="15" x14ac:dyDescent="0.25"/>
    <row r="8989" s="1" customFormat="1" ht="15" x14ac:dyDescent="0.25"/>
    <row r="8990" s="1" customFormat="1" ht="15" x14ac:dyDescent="0.25"/>
    <row r="8991" s="1" customFormat="1" ht="15" x14ac:dyDescent="0.25"/>
    <row r="8992" s="1" customFormat="1" ht="15" x14ac:dyDescent="0.25"/>
    <row r="8993" s="1" customFormat="1" ht="15" x14ac:dyDescent="0.25"/>
    <row r="8994" s="1" customFormat="1" ht="15" x14ac:dyDescent="0.25"/>
    <row r="8995" s="1" customFormat="1" ht="15" x14ac:dyDescent="0.25"/>
    <row r="8996" s="1" customFormat="1" ht="15" x14ac:dyDescent="0.25"/>
    <row r="8997" s="1" customFormat="1" ht="15" x14ac:dyDescent="0.25"/>
    <row r="8998" s="1" customFormat="1" ht="15" x14ac:dyDescent="0.25"/>
    <row r="8999" s="1" customFormat="1" ht="15" x14ac:dyDescent="0.25"/>
    <row r="9000" s="1" customFormat="1" ht="15" x14ac:dyDescent="0.25"/>
    <row r="9001" s="1" customFormat="1" ht="15" x14ac:dyDescent="0.25"/>
    <row r="9002" s="1" customFormat="1" ht="15" x14ac:dyDescent="0.25"/>
    <row r="9003" s="1" customFormat="1" ht="15" x14ac:dyDescent="0.25"/>
    <row r="9004" s="1" customFormat="1" ht="15" x14ac:dyDescent="0.25"/>
    <row r="9005" s="1" customFormat="1" ht="15" x14ac:dyDescent="0.25"/>
    <row r="9006" s="1" customFormat="1" ht="15" x14ac:dyDescent="0.25"/>
    <row r="9007" s="1" customFormat="1" ht="15" x14ac:dyDescent="0.25"/>
    <row r="9008" s="1" customFormat="1" ht="15" x14ac:dyDescent="0.25"/>
    <row r="9009" s="1" customFormat="1" ht="15" x14ac:dyDescent="0.25"/>
    <row r="9010" s="1" customFormat="1" ht="15" x14ac:dyDescent="0.25"/>
    <row r="9011" s="1" customFormat="1" ht="15" x14ac:dyDescent="0.25"/>
    <row r="9012" s="1" customFormat="1" ht="15" x14ac:dyDescent="0.25"/>
    <row r="9013" s="1" customFormat="1" ht="15" x14ac:dyDescent="0.25"/>
    <row r="9014" s="1" customFormat="1" ht="15" x14ac:dyDescent="0.25"/>
    <row r="9015" s="1" customFormat="1" ht="15" x14ac:dyDescent="0.25"/>
    <row r="9016" s="1" customFormat="1" ht="15" x14ac:dyDescent="0.25"/>
    <row r="9017" s="1" customFormat="1" ht="15" x14ac:dyDescent="0.25"/>
    <row r="9018" s="1" customFormat="1" ht="15" x14ac:dyDescent="0.25"/>
    <row r="9019" s="1" customFormat="1" ht="15" x14ac:dyDescent="0.25"/>
    <row r="9020" s="1" customFormat="1" ht="15" x14ac:dyDescent="0.25"/>
    <row r="9021" s="1" customFormat="1" ht="15" x14ac:dyDescent="0.25"/>
    <row r="9022" s="1" customFormat="1" ht="15" x14ac:dyDescent="0.25"/>
    <row r="9023" s="1" customFormat="1" ht="15" x14ac:dyDescent="0.25"/>
    <row r="9024" s="1" customFormat="1" ht="15" x14ac:dyDescent="0.25"/>
    <row r="9025" s="1" customFormat="1" ht="15" x14ac:dyDescent="0.25"/>
    <row r="9026" s="1" customFormat="1" ht="15" x14ac:dyDescent="0.25"/>
    <row r="9027" s="1" customFormat="1" ht="15" x14ac:dyDescent="0.25"/>
    <row r="9028" s="1" customFormat="1" ht="15" x14ac:dyDescent="0.25"/>
    <row r="9029" s="1" customFormat="1" ht="15" x14ac:dyDescent="0.25"/>
    <row r="9030" s="1" customFormat="1" ht="15" x14ac:dyDescent="0.25"/>
    <row r="9031" s="1" customFormat="1" ht="15" x14ac:dyDescent="0.25"/>
    <row r="9032" s="1" customFormat="1" ht="15" x14ac:dyDescent="0.25"/>
    <row r="9033" s="1" customFormat="1" ht="15" x14ac:dyDescent="0.25"/>
    <row r="9034" s="1" customFormat="1" ht="15" x14ac:dyDescent="0.25"/>
    <row r="9035" s="1" customFormat="1" ht="15" x14ac:dyDescent="0.25"/>
    <row r="9036" s="1" customFormat="1" ht="15" x14ac:dyDescent="0.25"/>
    <row r="9037" s="1" customFormat="1" ht="15" x14ac:dyDescent="0.25"/>
    <row r="9038" s="1" customFormat="1" ht="15" x14ac:dyDescent="0.25"/>
    <row r="9039" s="1" customFormat="1" ht="15" x14ac:dyDescent="0.25"/>
    <row r="9040" s="1" customFormat="1" ht="15" x14ac:dyDescent="0.25"/>
    <row r="9041" s="1" customFormat="1" ht="15" x14ac:dyDescent="0.25"/>
    <row r="9042" s="1" customFormat="1" ht="15" x14ac:dyDescent="0.25"/>
    <row r="9043" s="1" customFormat="1" ht="15" x14ac:dyDescent="0.25"/>
    <row r="9044" s="1" customFormat="1" ht="15" x14ac:dyDescent="0.25"/>
    <row r="9045" s="1" customFormat="1" ht="15" x14ac:dyDescent="0.25"/>
    <row r="9046" s="1" customFormat="1" ht="15" x14ac:dyDescent="0.25"/>
    <row r="9047" s="1" customFormat="1" ht="15" x14ac:dyDescent="0.25"/>
    <row r="9048" s="1" customFormat="1" ht="15" x14ac:dyDescent="0.25"/>
    <row r="9049" s="1" customFormat="1" ht="15" x14ac:dyDescent="0.25"/>
    <row r="9050" s="1" customFormat="1" ht="15" x14ac:dyDescent="0.25"/>
    <row r="9051" s="1" customFormat="1" ht="15" x14ac:dyDescent="0.25"/>
    <row r="9052" s="1" customFormat="1" ht="15" x14ac:dyDescent="0.25"/>
    <row r="9053" s="1" customFormat="1" ht="15" x14ac:dyDescent="0.25"/>
    <row r="9054" s="1" customFormat="1" ht="15" x14ac:dyDescent="0.25"/>
    <row r="9055" s="1" customFormat="1" ht="15" x14ac:dyDescent="0.25"/>
    <row r="9056" s="1" customFormat="1" ht="15" x14ac:dyDescent="0.25"/>
    <row r="9057" s="1" customFormat="1" ht="15" x14ac:dyDescent="0.25"/>
    <row r="9058" s="1" customFormat="1" ht="15" x14ac:dyDescent="0.25"/>
    <row r="9059" s="1" customFormat="1" ht="15" x14ac:dyDescent="0.25"/>
    <row r="9060" s="1" customFormat="1" ht="15" x14ac:dyDescent="0.25"/>
    <row r="9061" s="1" customFormat="1" ht="15" x14ac:dyDescent="0.25"/>
    <row r="9062" s="1" customFormat="1" ht="15" x14ac:dyDescent="0.25"/>
    <row r="9063" s="1" customFormat="1" ht="15" x14ac:dyDescent="0.25"/>
    <row r="9064" s="1" customFormat="1" ht="15" x14ac:dyDescent="0.25"/>
    <row r="9065" s="1" customFormat="1" ht="15" x14ac:dyDescent="0.25"/>
    <row r="9066" s="1" customFormat="1" ht="15" x14ac:dyDescent="0.25"/>
    <row r="9067" s="1" customFormat="1" ht="15" x14ac:dyDescent="0.25"/>
    <row r="9068" s="1" customFormat="1" ht="15" x14ac:dyDescent="0.25"/>
    <row r="9069" s="1" customFormat="1" ht="15" x14ac:dyDescent="0.25"/>
    <row r="9070" s="1" customFormat="1" ht="15" x14ac:dyDescent="0.25"/>
    <row r="9071" s="1" customFormat="1" ht="15" x14ac:dyDescent="0.25"/>
    <row r="9072" s="1" customFormat="1" ht="15" x14ac:dyDescent="0.25"/>
    <row r="9073" s="1" customFormat="1" ht="15" x14ac:dyDescent="0.25"/>
    <row r="9074" s="1" customFormat="1" ht="15" x14ac:dyDescent="0.25"/>
    <row r="9075" s="1" customFormat="1" ht="15" x14ac:dyDescent="0.25"/>
    <row r="9076" s="1" customFormat="1" ht="15" x14ac:dyDescent="0.25"/>
    <row r="9077" s="1" customFormat="1" ht="15" x14ac:dyDescent="0.25"/>
    <row r="9078" s="1" customFormat="1" ht="15" x14ac:dyDescent="0.25"/>
    <row r="9079" s="1" customFormat="1" ht="15" x14ac:dyDescent="0.25"/>
    <row r="9080" s="1" customFormat="1" ht="15" x14ac:dyDescent="0.25"/>
    <row r="9081" s="1" customFormat="1" ht="15" x14ac:dyDescent="0.25"/>
    <row r="9082" s="1" customFormat="1" ht="15" x14ac:dyDescent="0.25"/>
    <row r="9083" s="1" customFormat="1" ht="15" x14ac:dyDescent="0.25"/>
    <row r="9084" s="1" customFormat="1" ht="15" x14ac:dyDescent="0.25"/>
    <row r="9085" s="1" customFormat="1" ht="15" x14ac:dyDescent="0.25"/>
    <row r="9086" s="1" customFormat="1" ht="15" x14ac:dyDescent="0.25"/>
    <row r="9087" s="1" customFormat="1" ht="15" x14ac:dyDescent="0.25"/>
    <row r="9088" s="1" customFormat="1" ht="15" x14ac:dyDescent="0.25"/>
    <row r="9089" s="1" customFormat="1" ht="15" x14ac:dyDescent="0.25"/>
    <row r="9090" s="1" customFormat="1" ht="15" x14ac:dyDescent="0.25"/>
    <row r="9091" s="1" customFormat="1" ht="15" x14ac:dyDescent="0.25"/>
    <row r="9092" s="1" customFormat="1" ht="15" x14ac:dyDescent="0.25"/>
    <row r="9093" s="1" customFormat="1" ht="15" x14ac:dyDescent="0.25"/>
    <row r="9094" s="1" customFormat="1" ht="15" x14ac:dyDescent="0.25"/>
    <row r="9095" s="1" customFormat="1" ht="15" x14ac:dyDescent="0.25"/>
    <row r="9096" s="1" customFormat="1" ht="15" x14ac:dyDescent="0.25"/>
    <row r="9097" s="1" customFormat="1" ht="15" x14ac:dyDescent="0.25"/>
    <row r="9098" s="1" customFormat="1" ht="15" x14ac:dyDescent="0.25"/>
    <row r="9099" s="1" customFormat="1" ht="15" x14ac:dyDescent="0.25"/>
    <row r="9100" s="1" customFormat="1" ht="15" x14ac:dyDescent="0.25"/>
    <row r="9101" s="1" customFormat="1" ht="15" x14ac:dyDescent="0.25"/>
    <row r="9102" s="1" customFormat="1" ht="15" x14ac:dyDescent="0.25"/>
    <row r="9103" s="1" customFormat="1" ht="15" x14ac:dyDescent="0.25"/>
    <row r="9104" s="1" customFormat="1" ht="15" x14ac:dyDescent="0.25"/>
    <row r="9105" s="1" customFormat="1" ht="15" x14ac:dyDescent="0.25"/>
    <row r="9106" s="1" customFormat="1" ht="15" x14ac:dyDescent="0.25"/>
    <row r="9107" s="1" customFormat="1" ht="15" x14ac:dyDescent="0.25"/>
    <row r="9108" s="1" customFormat="1" ht="15" x14ac:dyDescent="0.25"/>
    <row r="9109" s="1" customFormat="1" ht="15" x14ac:dyDescent="0.25"/>
    <row r="9110" s="1" customFormat="1" ht="15" x14ac:dyDescent="0.25"/>
    <row r="9111" s="1" customFormat="1" ht="15" x14ac:dyDescent="0.25"/>
    <row r="9112" s="1" customFormat="1" ht="15" x14ac:dyDescent="0.25"/>
    <row r="9113" s="1" customFormat="1" ht="15" x14ac:dyDescent="0.25"/>
    <row r="9114" s="1" customFormat="1" ht="15" x14ac:dyDescent="0.25"/>
    <row r="9115" s="1" customFormat="1" ht="15" x14ac:dyDescent="0.25"/>
    <row r="9116" s="1" customFormat="1" ht="15" x14ac:dyDescent="0.25"/>
    <row r="9117" s="1" customFormat="1" ht="15" x14ac:dyDescent="0.25"/>
    <row r="9118" s="1" customFormat="1" ht="15" x14ac:dyDescent="0.25"/>
    <row r="9119" s="1" customFormat="1" ht="15" x14ac:dyDescent="0.25"/>
    <row r="9120" s="1" customFormat="1" ht="15" x14ac:dyDescent="0.25"/>
    <row r="9121" s="1" customFormat="1" ht="15" x14ac:dyDescent="0.25"/>
    <row r="9122" s="1" customFormat="1" ht="15" x14ac:dyDescent="0.25"/>
    <row r="9123" s="1" customFormat="1" ht="15" x14ac:dyDescent="0.25"/>
    <row r="9124" s="1" customFormat="1" ht="15" x14ac:dyDescent="0.25"/>
    <row r="9125" s="1" customFormat="1" ht="15" x14ac:dyDescent="0.25"/>
    <row r="9126" s="1" customFormat="1" ht="15" x14ac:dyDescent="0.25"/>
    <row r="9127" s="1" customFormat="1" ht="15" x14ac:dyDescent="0.25"/>
    <row r="9128" s="1" customFormat="1" ht="15" x14ac:dyDescent="0.25"/>
    <row r="9129" s="1" customFormat="1" ht="15" x14ac:dyDescent="0.25"/>
    <row r="9130" s="1" customFormat="1" ht="15" x14ac:dyDescent="0.25"/>
    <row r="9131" s="1" customFormat="1" ht="15" x14ac:dyDescent="0.25"/>
    <row r="9132" s="1" customFormat="1" ht="15" x14ac:dyDescent="0.25"/>
    <row r="9133" s="1" customFormat="1" ht="15" x14ac:dyDescent="0.25"/>
    <row r="9134" s="1" customFormat="1" ht="15" x14ac:dyDescent="0.25"/>
    <row r="9135" s="1" customFormat="1" ht="15" x14ac:dyDescent="0.25"/>
    <row r="9136" s="1" customFormat="1" ht="15" x14ac:dyDescent="0.25"/>
    <row r="9137" s="1" customFormat="1" ht="15" x14ac:dyDescent="0.25"/>
    <row r="9138" s="1" customFormat="1" ht="15" x14ac:dyDescent="0.25"/>
    <row r="9139" s="1" customFormat="1" ht="15" x14ac:dyDescent="0.25"/>
    <row r="9140" s="1" customFormat="1" ht="15" x14ac:dyDescent="0.25"/>
    <row r="9141" s="1" customFormat="1" ht="15" x14ac:dyDescent="0.25"/>
    <row r="9142" s="1" customFormat="1" ht="15" x14ac:dyDescent="0.25"/>
    <row r="9143" s="1" customFormat="1" ht="15" x14ac:dyDescent="0.25"/>
    <row r="9144" s="1" customFormat="1" ht="15" x14ac:dyDescent="0.25"/>
    <row r="9145" s="1" customFormat="1" ht="15" x14ac:dyDescent="0.25"/>
    <row r="9146" s="1" customFormat="1" ht="15" x14ac:dyDescent="0.25"/>
    <row r="9147" s="1" customFormat="1" ht="15" x14ac:dyDescent="0.25"/>
    <row r="9148" s="1" customFormat="1" ht="15" x14ac:dyDescent="0.25"/>
    <row r="9149" s="1" customFormat="1" ht="15" x14ac:dyDescent="0.25"/>
    <row r="9150" s="1" customFormat="1" ht="15" x14ac:dyDescent="0.25"/>
    <row r="9151" s="1" customFormat="1" ht="15" x14ac:dyDescent="0.25"/>
    <row r="9152" s="1" customFormat="1" ht="15" x14ac:dyDescent="0.25"/>
    <row r="9153" s="1" customFormat="1" ht="15" x14ac:dyDescent="0.25"/>
    <row r="9154" s="1" customFormat="1" ht="15" x14ac:dyDescent="0.25"/>
    <row r="9155" s="1" customFormat="1" ht="15" x14ac:dyDescent="0.25"/>
    <row r="9156" s="1" customFormat="1" ht="15" x14ac:dyDescent="0.25"/>
    <row r="9157" s="1" customFormat="1" ht="15" x14ac:dyDescent="0.25"/>
    <row r="9158" s="1" customFormat="1" ht="15" x14ac:dyDescent="0.25"/>
    <row r="9159" s="1" customFormat="1" ht="15" x14ac:dyDescent="0.25"/>
    <row r="9160" s="1" customFormat="1" ht="15" x14ac:dyDescent="0.25"/>
    <row r="9161" s="1" customFormat="1" ht="15" x14ac:dyDescent="0.25"/>
    <row r="9162" s="1" customFormat="1" ht="15" x14ac:dyDescent="0.25"/>
    <row r="9163" s="1" customFormat="1" ht="15" x14ac:dyDescent="0.25"/>
    <row r="9164" s="1" customFormat="1" ht="15" x14ac:dyDescent="0.25"/>
    <row r="9165" s="1" customFormat="1" ht="15" x14ac:dyDescent="0.25"/>
    <row r="9166" s="1" customFormat="1" ht="15" x14ac:dyDescent="0.25"/>
    <row r="9167" s="1" customFormat="1" ht="15" x14ac:dyDescent="0.25"/>
    <row r="9168" s="1" customFormat="1" ht="15" x14ac:dyDescent="0.25"/>
    <row r="9169" s="1" customFormat="1" ht="15" x14ac:dyDescent="0.25"/>
    <row r="9170" s="1" customFormat="1" ht="15" x14ac:dyDescent="0.25"/>
    <row r="9171" s="1" customFormat="1" ht="15" x14ac:dyDescent="0.25"/>
    <row r="9172" s="1" customFormat="1" ht="15" x14ac:dyDescent="0.25"/>
    <row r="9173" s="1" customFormat="1" ht="15" x14ac:dyDescent="0.25"/>
    <row r="9174" s="1" customFormat="1" ht="15" x14ac:dyDescent="0.25"/>
    <row r="9175" s="1" customFormat="1" ht="15" x14ac:dyDescent="0.25"/>
    <row r="9176" s="1" customFormat="1" ht="15" x14ac:dyDescent="0.25"/>
    <row r="9177" s="1" customFormat="1" ht="15" x14ac:dyDescent="0.25"/>
    <row r="9178" s="1" customFormat="1" ht="15" x14ac:dyDescent="0.25"/>
    <row r="9179" s="1" customFormat="1" ht="15" x14ac:dyDescent="0.25"/>
    <row r="9180" s="1" customFormat="1" ht="15" x14ac:dyDescent="0.25"/>
    <row r="9181" s="1" customFormat="1" ht="15" x14ac:dyDescent="0.25"/>
    <row r="9182" s="1" customFormat="1" ht="15" x14ac:dyDescent="0.25"/>
    <row r="9183" s="1" customFormat="1" ht="15" x14ac:dyDescent="0.25"/>
    <row r="9184" s="1" customFormat="1" ht="15" x14ac:dyDescent="0.25"/>
    <row r="9185" s="1" customFormat="1" ht="15" x14ac:dyDescent="0.25"/>
    <row r="9186" s="1" customFormat="1" ht="15" x14ac:dyDescent="0.25"/>
    <row r="9187" s="1" customFormat="1" ht="15" x14ac:dyDescent="0.25"/>
    <row r="9188" s="1" customFormat="1" ht="15" x14ac:dyDescent="0.25"/>
    <row r="9189" s="1" customFormat="1" ht="15" x14ac:dyDescent="0.25"/>
    <row r="9190" s="1" customFormat="1" ht="15" x14ac:dyDescent="0.25"/>
    <row r="9191" s="1" customFormat="1" ht="15" x14ac:dyDescent="0.25"/>
    <row r="9192" s="1" customFormat="1" ht="15" x14ac:dyDescent="0.25"/>
    <row r="9193" s="1" customFormat="1" ht="15" x14ac:dyDescent="0.25"/>
    <row r="9194" s="1" customFormat="1" ht="15" x14ac:dyDescent="0.25"/>
    <row r="9195" s="1" customFormat="1" ht="15" x14ac:dyDescent="0.25"/>
    <row r="9196" s="1" customFormat="1" ht="15" x14ac:dyDescent="0.25"/>
    <row r="9197" s="1" customFormat="1" ht="15" x14ac:dyDescent="0.25"/>
    <row r="9198" s="1" customFormat="1" ht="15" x14ac:dyDescent="0.25"/>
    <row r="9199" s="1" customFormat="1" ht="15" x14ac:dyDescent="0.25"/>
    <row r="9200" s="1" customFormat="1" ht="15" x14ac:dyDescent="0.25"/>
    <row r="9201" s="1" customFormat="1" ht="15" x14ac:dyDescent="0.25"/>
    <row r="9202" s="1" customFormat="1" ht="15" x14ac:dyDescent="0.25"/>
    <row r="9203" s="1" customFormat="1" ht="15" x14ac:dyDescent="0.25"/>
    <row r="9204" s="1" customFormat="1" ht="15" x14ac:dyDescent="0.25"/>
    <row r="9205" s="1" customFormat="1" ht="15" x14ac:dyDescent="0.25"/>
    <row r="9206" s="1" customFormat="1" ht="15" x14ac:dyDescent="0.25"/>
    <row r="9207" s="1" customFormat="1" ht="15" x14ac:dyDescent="0.25"/>
    <row r="9208" s="1" customFormat="1" ht="15" x14ac:dyDescent="0.25"/>
    <row r="9209" s="1" customFormat="1" ht="15" x14ac:dyDescent="0.25"/>
    <row r="9210" s="1" customFormat="1" ht="15" x14ac:dyDescent="0.25"/>
    <row r="9211" s="1" customFormat="1" ht="15" x14ac:dyDescent="0.25"/>
    <row r="9212" s="1" customFormat="1" ht="15" x14ac:dyDescent="0.25"/>
    <row r="9213" s="1" customFormat="1" ht="15" x14ac:dyDescent="0.25"/>
    <row r="9214" s="1" customFormat="1" ht="15" x14ac:dyDescent="0.25"/>
    <row r="9215" s="1" customFormat="1" ht="15" x14ac:dyDescent="0.25"/>
    <row r="9216" s="1" customFormat="1" ht="15" x14ac:dyDescent="0.25"/>
    <row r="9217" s="1" customFormat="1" ht="15" x14ac:dyDescent="0.25"/>
    <row r="9218" s="1" customFormat="1" ht="15" x14ac:dyDescent="0.25"/>
    <row r="9219" s="1" customFormat="1" ht="15" x14ac:dyDescent="0.25"/>
    <row r="9220" s="1" customFormat="1" ht="15" x14ac:dyDescent="0.25"/>
    <row r="9221" s="1" customFormat="1" ht="15" x14ac:dyDescent="0.25"/>
    <row r="9222" s="1" customFormat="1" ht="15" x14ac:dyDescent="0.25"/>
    <row r="9223" s="1" customFormat="1" ht="15" x14ac:dyDescent="0.25"/>
    <row r="9224" s="1" customFormat="1" ht="15" x14ac:dyDescent="0.25"/>
    <row r="9225" s="1" customFormat="1" ht="15" x14ac:dyDescent="0.25"/>
    <row r="9226" s="1" customFormat="1" ht="15" x14ac:dyDescent="0.25"/>
    <row r="9227" s="1" customFormat="1" ht="15" x14ac:dyDescent="0.25"/>
    <row r="9228" s="1" customFormat="1" ht="15" x14ac:dyDescent="0.25"/>
    <row r="9229" s="1" customFormat="1" ht="15" x14ac:dyDescent="0.25"/>
    <row r="9230" s="1" customFormat="1" ht="15" x14ac:dyDescent="0.25"/>
    <row r="9231" s="1" customFormat="1" ht="15" x14ac:dyDescent="0.25"/>
    <row r="9232" s="1" customFormat="1" ht="15" x14ac:dyDescent="0.25"/>
    <row r="9233" s="1" customFormat="1" ht="15" x14ac:dyDescent="0.25"/>
    <row r="9234" s="1" customFormat="1" ht="15" x14ac:dyDescent="0.25"/>
    <row r="9235" s="1" customFormat="1" ht="15" x14ac:dyDescent="0.25"/>
    <row r="9236" s="1" customFormat="1" ht="15" x14ac:dyDescent="0.25"/>
    <row r="9237" s="1" customFormat="1" ht="15" x14ac:dyDescent="0.25"/>
    <row r="9238" s="1" customFormat="1" ht="15" x14ac:dyDescent="0.25"/>
    <row r="9239" s="1" customFormat="1" ht="15" x14ac:dyDescent="0.25"/>
    <row r="9240" s="1" customFormat="1" ht="15" x14ac:dyDescent="0.25"/>
    <row r="9241" s="1" customFormat="1" ht="15" x14ac:dyDescent="0.25"/>
    <row r="9242" s="1" customFormat="1" ht="15" x14ac:dyDescent="0.25"/>
    <row r="9243" s="1" customFormat="1" ht="15" x14ac:dyDescent="0.25"/>
    <row r="9244" s="1" customFormat="1" ht="15" x14ac:dyDescent="0.25"/>
    <row r="9245" s="1" customFormat="1" ht="15" x14ac:dyDescent="0.25"/>
    <row r="9246" s="1" customFormat="1" ht="15" x14ac:dyDescent="0.25"/>
    <row r="9247" s="1" customFormat="1" ht="15" x14ac:dyDescent="0.25"/>
    <row r="9248" s="1" customFormat="1" ht="15" x14ac:dyDescent="0.25"/>
    <row r="9249" s="1" customFormat="1" ht="15" x14ac:dyDescent="0.25"/>
    <row r="9250" s="1" customFormat="1" ht="15" x14ac:dyDescent="0.25"/>
    <row r="9251" s="1" customFormat="1" ht="15" x14ac:dyDescent="0.25"/>
    <row r="9252" s="1" customFormat="1" ht="15" x14ac:dyDescent="0.25"/>
    <row r="9253" s="1" customFormat="1" ht="15" x14ac:dyDescent="0.25"/>
    <row r="9254" s="1" customFormat="1" ht="15" x14ac:dyDescent="0.25"/>
    <row r="9255" s="1" customFormat="1" ht="15" x14ac:dyDescent="0.25"/>
    <row r="9256" s="1" customFormat="1" ht="15" x14ac:dyDescent="0.25"/>
    <row r="9257" s="1" customFormat="1" ht="15" x14ac:dyDescent="0.25"/>
    <row r="9258" s="1" customFormat="1" ht="15" x14ac:dyDescent="0.25"/>
    <row r="9259" s="1" customFormat="1" ht="15" x14ac:dyDescent="0.25"/>
    <row r="9260" s="1" customFormat="1" ht="15" x14ac:dyDescent="0.25"/>
    <row r="9261" s="1" customFormat="1" ht="15" x14ac:dyDescent="0.25"/>
    <row r="9262" s="1" customFormat="1" ht="15" x14ac:dyDescent="0.25"/>
    <row r="9263" s="1" customFormat="1" ht="15" x14ac:dyDescent="0.25"/>
    <row r="9264" s="1" customFormat="1" ht="15" x14ac:dyDescent="0.25"/>
    <row r="9265" s="1" customFormat="1" ht="15" x14ac:dyDescent="0.25"/>
    <row r="9266" s="1" customFormat="1" ht="15" x14ac:dyDescent="0.25"/>
    <row r="9267" s="1" customFormat="1" ht="15" x14ac:dyDescent="0.25"/>
    <row r="9268" s="1" customFormat="1" ht="15" x14ac:dyDescent="0.25"/>
    <row r="9269" s="1" customFormat="1" ht="15" x14ac:dyDescent="0.25"/>
    <row r="9270" s="1" customFormat="1" ht="15" x14ac:dyDescent="0.25"/>
    <row r="9271" s="1" customFormat="1" ht="15" x14ac:dyDescent="0.25"/>
    <row r="9272" s="1" customFormat="1" ht="15" x14ac:dyDescent="0.25"/>
    <row r="9273" s="1" customFormat="1" ht="15" x14ac:dyDescent="0.25"/>
    <row r="9274" s="1" customFormat="1" ht="15" x14ac:dyDescent="0.25"/>
    <row r="9275" s="1" customFormat="1" ht="15" x14ac:dyDescent="0.25"/>
    <row r="9276" s="1" customFormat="1" ht="15" x14ac:dyDescent="0.25"/>
    <row r="9277" s="1" customFormat="1" ht="15" x14ac:dyDescent="0.25"/>
    <row r="9278" s="1" customFormat="1" ht="15" x14ac:dyDescent="0.25"/>
    <row r="9279" s="1" customFormat="1" ht="15" x14ac:dyDescent="0.25"/>
    <row r="9280" s="1" customFormat="1" ht="15" x14ac:dyDescent="0.25"/>
    <row r="9281" s="1" customFormat="1" ht="15" x14ac:dyDescent="0.25"/>
    <row r="9282" s="1" customFormat="1" ht="15" x14ac:dyDescent="0.25"/>
    <row r="9283" s="1" customFormat="1" ht="15" x14ac:dyDescent="0.25"/>
    <row r="9284" s="1" customFormat="1" ht="15" x14ac:dyDescent="0.25"/>
    <row r="9285" s="1" customFormat="1" ht="15" x14ac:dyDescent="0.25"/>
    <row r="9286" s="1" customFormat="1" ht="15" x14ac:dyDescent="0.25"/>
    <row r="9287" s="1" customFormat="1" ht="15" x14ac:dyDescent="0.25"/>
    <row r="9288" s="1" customFormat="1" ht="15" x14ac:dyDescent="0.25"/>
    <row r="9289" s="1" customFormat="1" ht="15" x14ac:dyDescent="0.25"/>
    <row r="9290" s="1" customFormat="1" ht="15" x14ac:dyDescent="0.25"/>
    <row r="9291" s="1" customFormat="1" ht="15" x14ac:dyDescent="0.25"/>
    <row r="9292" s="1" customFormat="1" ht="15" x14ac:dyDescent="0.25"/>
    <row r="9293" s="1" customFormat="1" ht="15" x14ac:dyDescent="0.25"/>
    <row r="9294" s="1" customFormat="1" ht="15" x14ac:dyDescent="0.25"/>
    <row r="9295" s="1" customFormat="1" ht="15" x14ac:dyDescent="0.25"/>
    <row r="9296" s="1" customFormat="1" ht="15" x14ac:dyDescent="0.25"/>
    <row r="9297" s="1" customFormat="1" ht="15" x14ac:dyDescent="0.25"/>
    <row r="9298" s="1" customFormat="1" ht="15" x14ac:dyDescent="0.25"/>
    <row r="9299" s="1" customFormat="1" ht="15" x14ac:dyDescent="0.25"/>
    <row r="9300" s="1" customFormat="1" ht="15" x14ac:dyDescent="0.25"/>
    <row r="9301" s="1" customFormat="1" ht="15" x14ac:dyDescent="0.25"/>
    <row r="9302" s="1" customFormat="1" ht="15" x14ac:dyDescent="0.25"/>
    <row r="9303" s="1" customFormat="1" ht="15" x14ac:dyDescent="0.25"/>
    <row r="9304" s="1" customFormat="1" ht="15" x14ac:dyDescent="0.25"/>
    <row r="9305" s="1" customFormat="1" ht="15" x14ac:dyDescent="0.25"/>
    <row r="9306" s="1" customFormat="1" ht="15" x14ac:dyDescent="0.25"/>
    <row r="9307" s="1" customFormat="1" ht="15" x14ac:dyDescent="0.25"/>
    <row r="9308" s="1" customFormat="1" ht="15" x14ac:dyDescent="0.25"/>
    <row r="9309" s="1" customFormat="1" ht="15" x14ac:dyDescent="0.25"/>
    <row r="9310" s="1" customFormat="1" ht="15" x14ac:dyDescent="0.25"/>
    <row r="9311" s="1" customFormat="1" ht="15" x14ac:dyDescent="0.25"/>
    <row r="9312" s="1" customFormat="1" ht="15" x14ac:dyDescent="0.25"/>
    <row r="9313" s="1" customFormat="1" ht="15" x14ac:dyDescent="0.25"/>
    <row r="9314" s="1" customFormat="1" ht="15" x14ac:dyDescent="0.25"/>
    <row r="9315" s="1" customFormat="1" ht="15" x14ac:dyDescent="0.25"/>
    <row r="9316" s="1" customFormat="1" ht="15" x14ac:dyDescent="0.25"/>
    <row r="9317" s="1" customFormat="1" ht="15" x14ac:dyDescent="0.25"/>
    <row r="9318" s="1" customFormat="1" ht="15" x14ac:dyDescent="0.25"/>
    <row r="9319" s="1" customFormat="1" ht="15" x14ac:dyDescent="0.25"/>
    <row r="9320" s="1" customFormat="1" ht="15" x14ac:dyDescent="0.25"/>
    <row r="9321" s="1" customFormat="1" ht="15" x14ac:dyDescent="0.25"/>
    <row r="9322" s="1" customFormat="1" ht="15" x14ac:dyDescent="0.25"/>
    <row r="9323" s="1" customFormat="1" ht="15" x14ac:dyDescent="0.25"/>
    <row r="9324" s="1" customFormat="1" ht="15" x14ac:dyDescent="0.25"/>
    <row r="9325" s="1" customFormat="1" ht="15" x14ac:dyDescent="0.25"/>
    <row r="9326" s="1" customFormat="1" ht="15" x14ac:dyDescent="0.25"/>
    <row r="9327" s="1" customFormat="1" ht="15" x14ac:dyDescent="0.25"/>
    <row r="9328" s="1" customFormat="1" ht="15" x14ac:dyDescent="0.25"/>
    <row r="9329" s="1" customFormat="1" ht="15" x14ac:dyDescent="0.25"/>
    <row r="9330" s="1" customFormat="1" ht="15" x14ac:dyDescent="0.25"/>
    <row r="9331" s="1" customFormat="1" ht="15" x14ac:dyDescent="0.25"/>
    <row r="9332" s="1" customFormat="1" ht="15" x14ac:dyDescent="0.25"/>
    <row r="9333" s="1" customFormat="1" ht="15" x14ac:dyDescent="0.25"/>
    <row r="9334" s="1" customFormat="1" ht="15" x14ac:dyDescent="0.25"/>
    <row r="9335" s="1" customFormat="1" ht="15" x14ac:dyDescent="0.25"/>
    <row r="9336" s="1" customFormat="1" ht="15" x14ac:dyDescent="0.25"/>
    <row r="9337" s="1" customFormat="1" ht="15" x14ac:dyDescent="0.25"/>
    <row r="9338" s="1" customFormat="1" ht="15" x14ac:dyDescent="0.25"/>
    <row r="9339" s="1" customFormat="1" ht="15" x14ac:dyDescent="0.25"/>
    <row r="9340" s="1" customFormat="1" ht="15" x14ac:dyDescent="0.25"/>
    <row r="9341" s="1" customFormat="1" ht="15" x14ac:dyDescent="0.25"/>
    <row r="9342" s="1" customFormat="1" ht="15" x14ac:dyDescent="0.25"/>
    <row r="9343" s="1" customFormat="1" ht="15" x14ac:dyDescent="0.25"/>
    <row r="9344" s="1" customFormat="1" ht="15" x14ac:dyDescent="0.25"/>
    <row r="9345" s="1" customFormat="1" ht="15" x14ac:dyDescent="0.25"/>
    <row r="9346" s="1" customFormat="1" ht="15" x14ac:dyDescent="0.25"/>
    <row r="9347" s="1" customFormat="1" ht="15" x14ac:dyDescent="0.25"/>
    <row r="9348" s="1" customFormat="1" ht="15" x14ac:dyDescent="0.25"/>
    <row r="9349" s="1" customFormat="1" ht="15" x14ac:dyDescent="0.25"/>
    <row r="9350" s="1" customFormat="1" ht="15" x14ac:dyDescent="0.25"/>
    <row r="9351" s="1" customFormat="1" ht="15" x14ac:dyDescent="0.25"/>
    <row r="9352" s="1" customFormat="1" ht="15" x14ac:dyDescent="0.25"/>
    <row r="9353" s="1" customFormat="1" ht="15" x14ac:dyDescent="0.25"/>
    <row r="9354" s="1" customFormat="1" ht="15" x14ac:dyDescent="0.25"/>
    <row r="9355" s="1" customFormat="1" ht="15" x14ac:dyDescent="0.25"/>
    <row r="9356" s="1" customFormat="1" ht="15" x14ac:dyDescent="0.25"/>
    <row r="9357" s="1" customFormat="1" ht="15" x14ac:dyDescent="0.25"/>
    <row r="9358" s="1" customFormat="1" ht="15" x14ac:dyDescent="0.25"/>
    <row r="9359" s="1" customFormat="1" ht="15" x14ac:dyDescent="0.25"/>
    <row r="9360" s="1" customFormat="1" ht="15" x14ac:dyDescent="0.25"/>
    <row r="9361" s="1" customFormat="1" ht="15" x14ac:dyDescent="0.25"/>
    <row r="9362" s="1" customFormat="1" ht="15" x14ac:dyDescent="0.25"/>
    <row r="9363" s="1" customFormat="1" ht="15" x14ac:dyDescent="0.25"/>
    <row r="9364" s="1" customFormat="1" ht="15" x14ac:dyDescent="0.25"/>
    <row r="9365" s="1" customFormat="1" ht="15" x14ac:dyDescent="0.25"/>
    <row r="9366" s="1" customFormat="1" ht="15" x14ac:dyDescent="0.25"/>
    <row r="9367" s="1" customFormat="1" ht="15" x14ac:dyDescent="0.25"/>
    <row r="9368" s="1" customFormat="1" ht="15" x14ac:dyDescent="0.25"/>
    <row r="9369" s="1" customFormat="1" ht="15" x14ac:dyDescent="0.25"/>
    <row r="9370" s="1" customFormat="1" ht="15" x14ac:dyDescent="0.25"/>
    <row r="9371" s="1" customFormat="1" ht="15" x14ac:dyDescent="0.25"/>
    <row r="9372" s="1" customFormat="1" ht="15" x14ac:dyDescent="0.25"/>
    <row r="9373" s="1" customFormat="1" ht="15" x14ac:dyDescent="0.25"/>
    <row r="9374" s="1" customFormat="1" ht="15" x14ac:dyDescent="0.25"/>
    <row r="9375" s="1" customFormat="1" ht="15" x14ac:dyDescent="0.25"/>
    <row r="9376" s="1" customFormat="1" ht="15" x14ac:dyDescent="0.25"/>
    <row r="9377" s="1" customFormat="1" ht="15" x14ac:dyDescent="0.25"/>
    <row r="9378" s="1" customFormat="1" ht="15" x14ac:dyDescent="0.25"/>
    <row r="9379" s="1" customFormat="1" ht="15" x14ac:dyDescent="0.25"/>
    <row r="9380" s="1" customFormat="1" ht="15" x14ac:dyDescent="0.25"/>
    <row r="9381" s="1" customFormat="1" ht="15" x14ac:dyDescent="0.25"/>
    <row r="9382" s="1" customFormat="1" ht="15" x14ac:dyDescent="0.25"/>
    <row r="9383" s="1" customFormat="1" ht="15" x14ac:dyDescent="0.25"/>
    <row r="9384" s="1" customFormat="1" ht="15" x14ac:dyDescent="0.25"/>
    <row r="9385" s="1" customFormat="1" ht="15" x14ac:dyDescent="0.25"/>
    <row r="9386" s="1" customFormat="1" ht="15" x14ac:dyDescent="0.25"/>
    <row r="9387" s="1" customFormat="1" ht="15" x14ac:dyDescent="0.25"/>
    <row r="9388" s="1" customFormat="1" ht="15" x14ac:dyDescent="0.25"/>
    <row r="9389" s="1" customFormat="1" ht="15" x14ac:dyDescent="0.25"/>
    <row r="9390" s="1" customFormat="1" ht="15" x14ac:dyDescent="0.25"/>
    <row r="9391" s="1" customFormat="1" ht="15" x14ac:dyDescent="0.25"/>
    <row r="9392" s="1" customFormat="1" ht="15" x14ac:dyDescent="0.25"/>
    <row r="9393" s="1" customFormat="1" ht="15" x14ac:dyDescent="0.25"/>
    <row r="9394" s="1" customFormat="1" ht="15" x14ac:dyDescent="0.25"/>
    <row r="9395" s="1" customFormat="1" ht="15" x14ac:dyDescent="0.25"/>
    <row r="9396" s="1" customFormat="1" ht="15" x14ac:dyDescent="0.25"/>
    <row r="9397" s="1" customFormat="1" ht="15" x14ac:dyDescent="0.25"/>
    <row r="9398" s="1" customFormat="1" ht="15" x14ac:dyDescent="0.25"/>
    <row r="9399" s="1" customFormat="1" ht="15" x14ac:dyDescent="0.25"/>
    <row r="9400" s="1" customFormat="1" ht="15" x14ac:dyDescent="0.25"/>
    <row r="9401" s="1" customFormat="1" ht="15" x14ac:dyDescent="0.25"/>
    <row r="9402" s="1" customFormat="1" ht="15" x14ac:dyDescent="0.25"/>
    <row r="9403" s="1" customFormat="1" ht="15" x14ac:dyDescent="0.25"/>
    <row r="9404" s="1" customFormat="1" ht="15" x14ac:dyDescent="0.25"/>
    <row r="9405" s="1" customFormat="1" ht="15" x14ac:dyDescent="0.25"/>
    <row r="9406" s="1" customFormat="1" ht="15" x14ac:dyDescent="0.25"/>
    <row r="9407" s="1" customFormat="1" ht="15" x14ac:dyDescent="0.25"/>
    <row r="9408" s="1" customFormat="1" ht="15" x14ac:dyDescent="0.25"/>
    <row r="9409" s="1" customFormat="1" ht="15" x14ac:dyDescent="0.25"/>
    <row r="9410" s="1" customFormat="1" ht="15" x14ac:dyDescent="0.25"/>
    <row r="9411" s="1" customFormat="1" ht="15" x14ac:dyDescent="0.25"/>
    <row r="9412" s="1" customFormat="1" ht="15" x14ac:dyDescent="0.25"/>
    <row r="9413" s="1" customFormat="1" ht="15" x14ac:dyDescent="0.25"/>
    <row r="9414" s="1" customFormat="1" ht="15" x14ac:dyDescent="0.25"/>
    <row r="9415" s="1" customFormat="1" ht="15" x14ac:dyDescent="0.25"/>
    <row r="9416" s="1" customFormat="1" ht="15" x14ac:dyDescent="0.25"/>
    <row r="9417" s="1" customFormat="1" ht="15" x14ac:dyDescent="0.25"/>
    <row r="9418" s="1" customFormat="1" ht="15" x14ac:dyDescent="0.25"/>
    <row r="9419" s="1" customFormat="1" ht="15" x14ac:dyDescent="0.25"/>
    <row r="9420" s="1" customFormat="1" ht="15" x14ac:dyDescent="0.25"/>
    <row r="9421" s="1" customFormat="1" ht="15" x14ac:dyDescent="0.25"/>
    <row r="9422" s="1" customFormat="1" ht="15" x14ac:dyDescent="0.25"/>
    <row r="9423" s="1" customFormat="1" ht="15" x14ac:dyDescent="0.25"/>
    <row r="9424" s="1" customFormat="1" ht="15" x14ac:dyDescent="0.25"/>
    <row r="9425" s="1" customFormat="1" ht="15" x14ac:dyDescent="0.25"/>
    <row r="9426" s="1" customFormat="1" ht="15" x14ac:dyDescent="0.25"/>
    <row r="9427" s="1" customFormat="1" ht="15" x14ac:dyDescent="0.25"/>
    <row r="9428" s="1" customFormat="1" ht="15" x14ac:dyDescent="0.25"/>
    <row r="9429" s="1" customFormat="1" ht="15" x14ac:dyDescent="0.25"/>
    <row r="9430" s="1" customFormat="1" ht="15" x14ac:dyDescent="0.25"/>
    <row r="9431" s="1" customFormat="1" ht="15" x14ac:dyDescent="0.25"/>
    <row r="9432" s="1" customFormat="1" ht="15" x14ac:dyDescent="0.25"/>
    <row r="9433" s="1" customFormat="1" ht="15" x14ac:dyDescent="0.25"/>
    <row r="9434" s="1" customFormat="1" ht="15" x14ac:dyDescent="0.25"/>
    <row r="9435" s="1" customFormat="1" ht="15" x14ac:dyDescent="0.25"/>
    <row r="9436" s="1" customFormat="1" ht="15" x14ac:dyDescent="0.25"/>
    <row r="9437" s="1" customFormat="1" ht="15" x14ac:dyDescent="0.25"/>
    <row r="9438" s="1" customFormat="1" ht="15" x14ac:dyDescent="0.25"/>
    <row r="9439" s="1" customFormat="1" ht="15" x14ac:dyDescent="0.25"/>
    <row r="9440" s="1" customFormat="1" ht="15" x14ac:dyDescent="0.25"/>
    <row r="9441" s="1" customFormat="1" ht="15" x14ac:dyDescent="0.25"/>
    <row r="9442" s="1" customFormat="1" ht="15" x14ac:dyDescent="0.25"/>
    <row r="9443" s="1" customFormat="1" ht="15" x14ac:dyDescent="0.25"/>
    <row r="9444" s="1" customFormat="1" ht="15" x14ac:dyDescent="0.25"/>
    <row r="9445" s="1" customFormat="1" ht="15" x14ac:dyDescent="0.25"/>
    <row r="9446" s="1" customFormat="1" ht="15" x14ac:dyDescent="0.25"/>
    <row r="9447" s="1" customFormat="1" ht="15" x14ac:dyDescent="0.25"/>
    <row r="9448" s="1" customFormat="1" ht="15" x14ac:dyDescent="0.25"/>
    <row r="9449" s="1" customFormat="1" ht="15" x14ac:dyDescent="0.25"/>
    <row r="9450" s="1" customFormat="1" ht="15" x14ac:dyDescent="0.25"/>
    <row r="9451" s="1" customFormat="1" ht="15" x14ac:dyDescent="0.25"/>
    <row r="9452" s="1" customFormat="1" ht="15" x14ac:dyDescent="0.25"/>
    <row r="9453" s="1" customFormat="1" ht="15" x14ac:dyDescent="0.25"/>
    <row r="9454" s="1" customFormat="1" ht="15" x14ac:dyDescent="0.25"/>
    <row r="9455" s="1" customFormat="1" ht="15" x14ac:dyDescent="0.25"/>
    <row r="9456" s="1" customFormat="1" ht="15" x14ac:dyDescent="0.25"/>
    <row r="9457" s="1" customFormat="1" ht="15" x14ac:dyDescent="0.25"/>
    <row r="9458" s="1" customFormat="1" ht="15" x14ac:dyDescent="0.25"/>
    <row r="9459" s="1" customFormat="1" ht="15" x14ac:dyDescent="0.25"/>
    <row r="9460" s="1" customFormat="1" ht="15" x14ac:dyDescent="0.25"/>
    <row r="9461" s="1" customFormat="1" ht="15" x14ac:dyDescent="0.25"/>
    <row r="9462" s="1" customFormat="1" ht="15" x14ac:dyDescent="0.25"/>
    <row r="9463" s="1" customFormat="1" ht="15" x14ac:dyDescent="0.25"/>
    <row r="9464" s="1" customFormat="1" ht="15" x14ac:dyDescent="0.25"/>
    <row r="9465" s="1" customFormat="1" ht="15" x14ac:dyDescent="0.25"/>
    <row r="9466" s="1" customFormat="1" ht="15" x14ac:dyDescent="0.25"/>
    <row r="9467" s="1" customFormat="1" ht="15" x14ac:dyDescent="0.25"/>
    <row r="9468" s="1" customFormat="1" ht="15" x14ac:dyDescent="0.25"/>
    <row r="9469" s="1" customFormat="1" ht="15" x14ac:dyDescent="0.25"/>
    <row r="9470" s="1" customFormat="1" ht="15" x14ac:dyDescent="0.25"/>
    <row r="9471" s="1" customFormat="1" ht="15" x14ac:dyDescent="0.25"/>
    <row r="9472" s="1" customFormat="1" ht="15" x14ac:dyDescent="0.25"/>
    <row r="9473" s="1" customFormat="1" ht="15" x14ac:dyDescent="0.25"/>
    <row r="9474" s="1" customFormat="1" ht="15" x14ac:dyDescent="0.25"/>
    <row r="9475" s="1" customFormat="1" ht="15" x14ac:dyDescent="0.25"/>
    <row r="9476" s="1" customFormat="1" ht="15" x14ac:dyDescent="0.25"/>
    <row r="9477" s="1" customFormat="1" ht="15" x14ac:dyDescent="0.25"/>
    <row r="9478" s="1" customFormat="1" ht="15" x14ac:dyDescent="0.25"/>
    <row r="9479" s="1" customFormat="1" ht="15" x14ac:dyDescent="0.25"/>
    <row r="9480" s="1" customFormat="1" ht="15" x14ac:dyDescent="0.25"/>
    <row r="9481" s="1" customFormat="1" ht="15" x14ac:dyDescent="0.25"/>
    <row r="9482" s="1" customFormat="1" ht="15" x14ac:dyDescent="0.25"/>
    <row r="9483" s="1" customFormat="1" ht="15" x14ac:dyDescent="0.25"/>
    <row r="9484" s="1" customFormat="1" ht="15" x14ac:dyDescent="0.25"/>
    <row r="9485" s="1" customFormat="1" ht="15" x14ac:dyDescent="0.25"/>
    <row r="9486" s="1" customFormat="1" ht="15" x14ac:dyDescent="0.25"/>
    <row r="9487" s="1" customFormat="1" ht="15" x14ac:dyDescent="0.25"/>
    <row r="9488" s="1" customFormat="1" ht="15" x14ac:dyDescent="0.25"/>
    <row r="9489" s="1" customFormat="1" ht="15" x14ac:dyDescent="0.25"/>
    <row r="9490" s="1" customFormat="1" ht="15" x14ac:dyDescent="0.25"/>
    <row r="9491" s="1" customFormat="1" ht="15" x14ac:dyDescent="0.25"/>
    <row r="9492" s="1" customFormat="1" ht="15" x14ac:dyDescent="0.25"/>
    <row r="9493" s="1" customFormat="1" ht="15" x14ac:dyDescent="0.25"/>
    <row r="9494" s="1" customFormat="1" ht="15" x14ac:dyDescent="0.25"/>
    <row r="9495" s="1" customFormat="1" ht="15" x14ac:dyDescent="0.25"/>
    <row r="9496" s="1" customFormat="1" ht="15" x14ac:dyDescent="0.25"/>
    <row r="9497" s="1" customFormat="1" ht="15" x14ac:dyDescent="0.25"/>
    <row r="9498" s="1" customFormat="1" ht="15" x14ac:dyDescent="0.25"/>
    <row r="9499" s="1" customFormat="1" ht="15" x14ac:dyDescent="0.25"/>
    <row r="9500" s="1" customFormat="1" ht="15" x14ac:dyDescent="0.25"/>
    <row r="9501" s="1" customFormat="1" ht="15" x14ac:dyDescent="0.25"/>
    <row r="9502" s="1" customFormat="1" ht="15" x14ac:dyDescent="0.25"/>
    <row r="9503" s="1" customFormat="1" ht="15" x14ac:dyDescent="0.25"/>
    <row r="9504" s="1" customFormat="1" ht="15" x14ac:dyDescent="0.25"/>
    <row r="9505" s="1" customFormat="1" ht="15" x14ac:dyDescent="0.25"/>
    <row r="9506" s="1" customFormat="1" ht="15" x14ac:dyDescent="0.25"/>
    <row r="9507" s="1" customFormat="1" ht="15" x14ac:dyDescent="0.25"/>
    <row r="9508" s="1" customFormat="1" ht="15" x14ac:dyDescent="0.25"/>
    <row r="9509" s="1" customFormat="1" ht="15" x14ac:dyDescent="0.25"/>
    <row r="9510" s="1" customFormat="1" ht="15" x14ac:dyDescent="0.25"/>
    <row r="9511" s="1" customFormat="1" ht="15" x14ac:dyDescent="0.25"/>
    <row r="9512" s="1" customFormat="1" ht="15" x14ac:dyDescent="0.25"/>
    <row r="9513" s="1" customFormat="1" ht="15" x14ac:dyDescent="0.25"/>
    <row r="9514" s="1" customFormat="1" ht="15" x14ac:dyDescent="0.25"/>
    <row r="9515" s="1" customFormat="1" ht="15" x14ac:dyDescent="0.25"/>
    <row r="9516" s="1" customFormat="1" ht="15" x14ac:dyDescent="0.25"/>
    <row r="9517" s="1" customFormat="1" ht="15" x14ac:dyDescent="0.25"/>
    <row r="9518" s="1" customFormat="1" ht="15" x14ac:dyDescent="0.25"/>
    <row r="9519" s="1" customFormat="1" ht="15" x14ac:dyDescent="0.25"/>
    <row r="9520" s="1" customFormat="1" ht="15" x14ac:dyDescent="0.25"/>
    <row r="9521" s="1" customFormat="1" ht="15" x14ac:dyDescent="0.25"/>
    <row r="9522" s="1" customFormat="1" ht="15" x14ac:dyDescent="0.25"/>
    <row r="9523" s="1" customFormat="1" ht="15" x14ac:dyDescent="0.25"/>
    <row r="9524" s="1" customFormat="1" ht="15" x14ac:dyDescent="0.25"/>
    <row r="9525" s="1" customFormat="1" ht="15" x14ac:dyDescent="0.25"/>
    <row r="9526" s="1" customFormat="1" ht="15" x14ac:dyDescent="0.25"/>
    <row r="9527" s="1" customFormat="1" ht="15" x14ac:dyDescent="0.25"/>
    <row r="9528" s="1" customFormat="1" ht="15" x14ac:dyDescent="0.25"/>
    <row r="9529" s="1" customFormat="1" ht="15" x14ac:dyDescent="0.25"/>
    <row r="9530" s="1" customFormat="1" ht="15" x14ac:dyDescent="0.25"/>
    <row r="9531" s="1" customFormat="1" ht="15" x14ac:dyDescent="0.25"/>
    <row r="9532" s="1" customFormat="1" ht="15" x14ac:dyDescent="0.25"/>
    <row r="9533" s="1" customFormat="1" ht="15" x14ac:dyDescent="0.25"/>
    <row r="9534" s="1" customFormat="1" ht="15" x14ac:dyDescent="0.25"/>
    <row r="9535" s="1" customFormat="1" ht="15" x14ac:dyDescent="0.25"/>
    <row r="9536" s="1" customFormat="1" ht="15" x14ac:dyDescent="0.25"/>
    <row r="9537" s="1" customFormat="1" ht="15" x14ac:dyDescent="0.25"/>
    <row r="9538" s="1" customFormat="1" ht="15" x14ac:dyDescent="0.25"/>
    <row r="9539" s="1" customFormat="1" ht="15" x14ac:dyDescent="0.25"/>
    <row r="9540" s="1" customFormat="1" ht="15" x14ac:dyDescent="0.25"/>
    <row r="9541" s="1" customFormat="1" ht="15" x14ac:dyDescent="0.25"/>
    <row r="9542" s="1" customFormat="1" ht="15" x14ac:dyDescent="0.25"/>
    <row r="9543" s="1" customFormat="1" ht="15" x14ac:dyDescent="0.25"/>
    <row r="9544" s="1" customFormat="1" ht="15" x14ac:dyDescent="0.25"/>
    <row r="9545" s="1" customFormat="1" ht="15" x14ac:dyDescent="0.25"/>
    <row r="9546" s="1" customFormat="1" ht="15" x14ac:dyDescent="0.25"/>
    <row r="9547" s="1" customFormat="1" ht="15" x14ac:dyDescent="0.25"/>
    <row r="9548" s="1" customFormat="1" ht="15" x14ac:dyDescent="0.25"/>
    <row r="9549" s="1" customFormat="1" ht="15" x14ac:dyDescent="0.25"/>
    <row r="9550" s="1" customFormat="1" ht="15" x14ac:dyDescent="0.25"/>
    <row r="9551" s="1" customFormat="1" ht="15" x14ac:dyDescent="0.25"/>
    <row r="9552" s="1" customFormat="1" ht="15" x14ac:dyDescent="0.25"/>
    <row r="9553" s="1" customFormat="1" ht="15" x14ac:dyDescent="0.25"/>
    <row r="9554" s="1" customFormat="1" ht="15" x14ac:dyDescent="0.25"/>
    <row r="9555" s="1" customFormat="1" ht="15" x14ac:dyDescent="0.25"/>
    <row r="9556" s="1" customFormat="1" ht="15" x14ac:dyDescent="0.25"/>
    <row r="9557" s="1" customFormat="1" ht="15" x14ac:dyDescent="0.25"/>
    <row r="9558" s="1" customFormat="1" ht="15" x14ac:dyDescent="0.25"/>
    <row r="9559" s="1" customFormat="1" ht="15" x14ac:dyDescent="0.25"/>
    <row r="9560" s="1" customFormat="1" ht="15" x14ac:dyDescent="0.25"/>
    <row r="9561" s="1" customFormat="1" ht="15" x14ac:dyDescent="0.25"/>
    <row r="9562" s="1" customFormat="1" ht="15" x14ac:dyDescent="0.25"/>
    <row r="9563" s="1" customFormat="1" ht="15" x14ac:dyDescent="0.25"/>
    <row r="9564" s="1" customFormat="1" ht="15" x14ac:dyDescent="0.25"/>
    <row r="9565" s="1" customFormat="1" ht="15" x14ac:dyDescent="0.25"/>
    <row r="9566" s="1" customFormat="1" ht="15" x14ac:dyDescent="0.25"/>
    <row r="9567" s="1" customFormat="1" ht="15" x14ac:dyDescent="0.25"/>
    <row r="9568" s="1" customFormat="1" ht="15" x14ac:dyDescent="0.25"/>
    <row r="9569" s="1" customFormat="1" ht="15" x14ac:dyDescent="0.25"/>
    <row r="9570" s="1" customFormat="1" ht="15" x14ac:dyDescent="0.25"/>
    <row r="9571" s="1" customFormat="1" ht="15" x14ac:dyDescent="0.25"/>
    <row r="9572" s="1" customFormat="1" ht="15" x14ac:dyDescent="0.25"/>
    <row r="9573" s="1" customFormat="1" ht="15" x14ac:dyDescent="0.25"/>
    <row r="9574" s="1" customFormat="1" ht="15" x14ac:dyDescent="0.25"/>
    <row r="9575" s="1" customFormat="1" ht="15" x14ac:dyDescent="0.25"/>
    <row r="9576" s="1" customFormat="1" ht="15" x14ac:dyDescent="0.25"/>
    <row r="9577" s="1" customFormat="1" ht="15" x14ac:dyDescent="0.25"/>
    <row r="9578" s="1" customFormat="1" ht="15" x14ac:dyDescent="0.25"/>
    <row r="9579" s="1" customFormat="1" ht="15" x14ac:dyDescent="0.25"/>
    <row r="9580" s="1" customFormat="1" ht="15" x14ac:dyDescent="0.25"/>
    <row r="9581" s="1" customFormat="1" ht="15" x14ac:dyDescent="0.25"/>
    <row r="9582" s="1" customFormat="1" ht="15" x14ac:dyDescent="0.25"/>
    <row r="9583" s="1" customFormat="1" ht="15" x14ac:dyDescent="0.25"/>
    <row r="9584" s="1" customFormat="1" ht="15" x14ac:dyDescent="0.25"/>
    <row r="9585" s="1" customFormat="1" ht="15" x14ac:dyDescent="0.25"/>
    <row r="9586" s="1" customFormat="1" ht="15" x14ac:dyDescent="0.25"/>
    <row r="9587" s="1" customFormat="1" ht="15" x14ac:dyDescent="0.25"/>
    <row r="9588" s="1" customFormat="1" ht="15" x14ac:dyDescent="0.25"/>
    <row r="9589" s="1" customFormat="1" ht="15" x14ac:dyDescent="0.25"/>
    <row r="9590" s="1" customFormat="1" ht="15" x14ac:dyDescent="0.25"/>
    <row r="9591" s="1" customFormat="1" ht="15" x14ac:dyDescent="0.25"/>
    <row r="9592" s="1" customFormat="1" ht="15" x14ac:dyDescent="0.25"/>
    <row r="9593" s="1" customFormat="1" ht="15" x14ac:dyDescent="0.25"/>
    <row r="9594" s="1" customFormat="1" ht="15" x14ac:dyDescent="0.25"/>
    <row r="9595" s="1" customFormat="1" ht="15" x14ac:dyDescent="0.25"/>
    <row r="9596" s="1" customFormat="1" ht="15" x14ac:dyDescent="0.25"/>
    <row r="9597" s="1" customFormat="1" ht="15" x14ac:dyDescent="0.25"/>
    <row r="9598" s="1" customFormat="1" ht="15" x14ac:dyDescent="0.25"/>
    <row r="9599" s="1" customFormat="1" ht="15" x14ac:dyDescent="0.25"/>
    <row r="9600" s="1" customFormat="1" ht="15" x14ac:dyDescent="0.25"/>
    <row r="9601" s="1" customFormat="1" ht="15" x14ac:dyDescent="0.25"/>
    <row r="9602" s="1" customFormat="1" ht="15" x14ac:dyDescent="0.25"/>
    <row r="9603" s="1" customFormat="1" ht="15" x14ac:dyDescent="0.25"/>
    <row r="9604" s="1" customFormat="1" ht="15" x14ac:dyDescent="0.25"/>
    <row r="9605" s="1" customFormat="1" ht="15" x14ac:dyDescent="0.25"/>
    <row r="9606" s="1" customFormat="1" ht="15" x14ac:dyDescent="0.25"/>
    <row r="9607" s="1" customFormat="1" ht="15" x14ac:dyDescent="0.25"/>
    <row r="9608" s="1" customFormat="1" ht="15" x14ac:dyDescent="0.25"/>
    <row r="9609" s="1" customFormat="1" ht="15" x14ac:dyDescent="0.25"/>
    <row r="9610" s="1" customFormat="1" ht="15" x14ac:dyDescent="0.25"/>
    <row r="9611" s="1" customFormat="1" ht="15" x14ac:dyDescent="0.25"/>
    <row r="9612" s="1" customFormat="1" ht="15" x14ac:dyDescent="0.25"/>
    <row r="9613" s="1" customFormat="1" ht="15" x14ac:dyDescent="0.25"/>
    <row r="9614" s="1" customFormat="1" ht="15" x14ac:dyDescent="0.25"/>
    <row r="9615" s="1" customFormat="1" ht="15" x14ac:dyDescent="0.25"/>
    <row r="9616" s="1" customFormat="1" ht="15" x14ac:dyDescent="0.25"/>
    <row r="9617" s="1" customFormat="1" ht="15" x14ac:dyDescent="0.25"/>
    <row r="9618" s="1" customFormat="1" ht="15" x14ac:dyDescent="0.25"/>
    <row r="9619" s="1" customFormat="1" ht="15" x14ac:dyDescent="0.25"/>
    <row r="9620" s="1" customFormat="1" ht="15" x14ac:dyDescent="0.25"/>
    <row r="9621" s="1" customFormat="1" ht="15" x14ac:dyDescent="0.25"/>
    <row r="9622" s="1" customFormat="1" ht="15" x14ac:dyDescent="0.25"/>
    <row r="9623" s="1" customFormat="1" ht="15" x14ac:dyDescent="0.25"/>
    <row r="9624" s="1" customFormat="1" ht="15" x14ac:dyDescent="0.25"/>
    <row r="9625" s="1" customFormat="1" ht="15" x14ac:dyDescent="0.25"/>
    <row r="9626" s="1" customFormat="1" ht="15" x14ac:dyDescent="0.25"/>
    <row r="9627" s="1" customFormat="1" ht="15" x14ac:dyDescent="0.25"/>
    <row r="9628" s="1" customFormat="1" ht="15" x14ac:dyDescent="0.25"/>
    <row r="9629" s="1" customFormat="1" ht="15" x14ac:dyDescent="0.25"/>
    <row r="9630" s="1" customFormat="1" ht="15" x14ac:dyDescent="0.25"/>
    <row r="9631" s="1" customFormat="1" ht="15" x14ac:dyDescent="0.25"/>
    <row r="9632" s="1" customFormat="1" ht="15" x14ac:dyDescent="0.25"/>
    <row r="9633" s="1" customFormat="1" ht="15" x14ac:dyDescent="0.25"/>
    <row r="9634" s="1" customFormat="1" ht="15" x14ac:dyDescent="0.25"/>
    <row r="9635" s="1" customFormat="1" ht="15" x14ac:dyDescent="0.25"/>
    <row r="9636" s="1" customFormat="1" ht="15" x14ac:dyDescent="0.25"/>
    <row r="9637" s="1" customFormat="1" ht="15" x14ac:dyDescent="0.25"/>
    <row r="9638" s="1" customFormat="1" ht="15" x14ac:dyDescent="0.25"/>
    <row r="9639" s="1" customFormat="1" ht="15" x14ac:dyDescent="0.25"/>
    <row r="9640" s="1" customFormat="1" ht="15" x14ac:dyDescent="0.25"/>
    <row r="9641" s="1" customFormat="1" ht="15" x14ac:dyDescent="0.25"/>
    <row r="9642" s="1" customFormat="1" ht="15" x14ac:dyDescent="0.25"/>
    <row r="9643" s="1" customFormat="1" ht="15" x14ac:dyDescent="0.25"/>
    <row r="9644" s="1" customFormat="1" ht="15" x14ac:dyDescent="0.25"/>
    <row r="9645" s="1" customFormat="1" ht="15" x14ac:dyDescent="0.25"/>
    <row r="9646" s="1" customFormat="1" ht="15" x14ac:dyDescent="0.25"/>
    <row r="9647" s="1" customFormat="1" ht="15" x14ac:dyDescent="0.25"/>
    <row r="9648" s="1" customFormat="1" ht="15" x14ac:dyDescent="0.25"/>
    <row r="9649" s="1" customFormat="1" ht="15" x14ac:dyDescent="0.25"/>
    <row r="9650" s="1" customFormat="1" ht="15" x14ac:dyDescent="0.25"/>
    <row r="9651" s="1" customFormat="1" ht="15" x14ac:dyDescent="0.25"/>
    <row r="9652" s="1" customFormat="1" ht="15" x14ac:dyDescent="0.25"/>
    <row r="9653" s="1" customFormat="1" ht="15" x14ac:dyDescent="0.25"/>
    <row r="9654" s="1" customFormat="1" ht="15" x14ac:dyDescent="0.25"/>
    <row r="9655" s="1" customFormat="1" ht="15" x14ac:dyDescent="0.25"/>
    <row r="9656" s="1" customFormat="1" ht="15" x14ac:dyDescent="0.25"/>
    <row r="9657" s="1" customFormat="1" ht="15" x14ac:dyDescent="0.25"/>
    <row r="9658" s="1" customFormat="1" ht="15" x14ac:dyDescent="0.25"/>
    <row r="9659" s="1" customFormat="1" ht="15" x14ac:dyDescent="0.25"/>
    <row r="9660" s="1" customFormat="1" ht="15" x14ac:dyDescent="0.25"/>
    <row r="9661" s="1" customFormat="1" ht="15" x14ac:dyDescent="0.25"/>
    <row r="9662" s="1" customFormat="1" ht="15" x14ac:dyDescent="0.25"/>
    <row r="9663" s="1" customFormat="1" ht="15" x14ac:dyDescent="0.25"/>
    <row r="9664" s="1" customFormat="1" ht="15" x14ac:dyDescent="0.25"/>
    <row r="9665" s="1" customFormat="1" ht="15" x14ac:dyDescent="0.25"/>
    <row r="9666" s="1" customFormat="1" ht="15" x14ac:dyDescent="0.25"/>
    <row r="9667" s="1" customFormat="1" ht="15" x14ac:dyDescent="0.25"/>
    <row r="9668" s="1" customFormat="1" ht="15" x14ac:dyDescent="0.25"/>
    <row r="9669" s="1" customFormat="1" ht="15" x14ac:dyDescent="0.25"/>
    <row r="9670" s="1" customFormat="1" ht="15" x14ac:dyDescent="0.25"/>
    <row r="9671" s="1" customFormat="1" ht="15" x14ac:dyDescent="0.25"/>
    <row r="9672" s="1" customFormat="1" ht="15" x14ac:dyDescent="0.25"/>
    <row r="9673" s="1" customFormat="1" ht="15" x14ac:dyDescent="0.25"/>
    <row r="9674" s="1" customFormat="1" ht="15" x14ac:dyDescent="0.25"/>
    <row r="9675" s="1" customFormat="1" ht="15" x14ac:dyDescent="0.25"/>
    <row r="9676" s="1" customFormat="1" ht="15" x14ac:dyDescent="0.25"/>
    <row r="9677" s="1" customFormat="1" ht="15" x14ac:dyDescent="0.25"/>
    <row r="9678" s="1" customFormat="1" ht="15" x14ac:dyDescent="0.25"/>
    <row r="9679" s="1" customFormat="1" ht="15" x14ac:dyDescent="0.25"/>
    <row r="9680" s="1" customFormat="1" ht="15" x14ac:dyDescent="0.25"/>
    <row r="9681" s="1" customFormat="1" ht="15" x14ac:dyDescent="0.25"/>
    <row r="9682" s="1" customFormat="1" ht="15" x14ac:dyDescent="0.25"/>
    <row r="9683" s="1" customFormat="1" ht="15" x14ac:dyDescent="0.25"/>
    <row r="9684" s="1" customFormat="1" ht="15" x14ac:dyDescent="0.25"/>
    <row r="9685" s="1" customFormat="1" ht="15" x14ac:dyDescent="0.25"/>
    <row r="9686" s="1" customFormat="1" ht="15" x14ac:dyDescent="0.25"/>
    <row r="9687" s="1" customFormat="1" ht="15" x14ac:dyDescent="0.25"/>
    <row r="9688" s="1" customFormat="1" ht="15" x14ac:dyDescent="0.25"/>
    <row r="9689" s="1" customFormat="1" ht="15" x14ac:dyDescent="0.25"/>
    <row r="9690" s="1" customFormat="1" ht="15" x14ac:dyDescent="0.25"/>
    <row r="9691" s="1" customFormat="1" ht="15" x14ac:dyDescent="0.25"/>
    <row r="9692" s="1" customFormat="1" ht="15" x14ac:dyDescent="0.25"/>
    <row r="9693" s="1" customFormat="1" ht="15" x14ac:dyDescent="0.25"/>
    <row r="9694" s="1" customFormat="1" ht="15" x14ac:dyDescent="0.25"/>
    <row r="9695" s="1" customFormat="1" ht="15" x14ac:dyDescent="0.25"/>
    <row r="9696" s="1" customFormat="1" ht="15" x14ac:dyDescent="0.25"/>
    <row r="9697" s="1" customFormat="1" ht="15" x14ac:dyDescent="0.25"/>
    <row r="9698" s="1" customFormat="1" ht="15" x14ac:dyDescent="0.25"/>
    <row r="9699" s="1" customFormat="1" ht="15" x14ac:dyDescent="0.25"/>
    <row r="9700" s="1" customFormat="1" ht="15" x14ac:dyDescent="0.25"/>
    <row r="9701" s="1" customFormat="1" ht="15" x14ac:dyDescent="0.25"/>
    <row r="9702" s="1" customFormat="1" ht="15" x14ac:dyDescent="0.25"/>
    <row r="9703" s="1" customFormat="1" ht="15" x14ac:dyDescent="0.25"/>
    <row r="9704" s="1" customFormat="1" ht="15" x14ac:dyDescent="0.25"/>
    <row r="9705" s="1" customFormat="1" ht="15" x14ac:dyDescent="0.25"/>
    <row r="9706" s="1" customFormat="1" ht="15" x14ac:dyDescent="0.25"/>
    <row r="9707" s="1" customFormat="1" ht="15" x14ac:dyDescent="0.25"/>
    <row r="9708" s="1" customFormat="1" ht="15" x14ac:dyDescent="0.25"/>
    <row r="9709" s="1" customFormat="1" ht="15" x14ac:dyDescent="0.25"/>
    <row r="9710" s="1" customFormat="1" ht="15" x14ac:dyDescent="0.25"/>
    <row r="9711" s="1" customFormat="1" ht="15" x14ac:dyDescent="0.25"/>
    <row r="9712" s="1" customFormat="1" ht="15" x14ac:dyDescent="0.25"/>
    <row r="9713" s="1" customFormat="1" ht="15" x14ac:dyDescent="0.25"/>
    <row r="9714" s="1" customFormat="1" ht="15" x14ac:dyDescent="0.25"/>
    <row r="9715" s="1" customFormat="1" ht="15" x14ac:dyDescent="0.25"/>
    <row r="9716" s="1" customFormat="1" ht="15" x14ac:dyDescent="0.25"/>
    <row r="9717" s="1" customFormat="1" ht="15" x14ac:dyDescent="0.25"/>
    <row r="9718" s="1" customFormat="1" ht="15" x14ac:dyDescent="0.25"/>
    <row r="9719" s="1" customFormat="1" ht="15" x14ac:dyDescent="0.25"/>
    <row r="9720" s="1" customFormat="1" ht="15" x14ac:dyDescent="0.25"/>
    <row r="9721" s="1" customFormat="1" ht="15" x14ac:dyDescent="0.25"/>
    <row r="9722" s="1" customFormat="1" ht="15" x14ac:dyDescent="0.25"/>
    <row r="9723" s="1" customFormat="1" ht="15" x14ac:dyDescent="0.25"/>
    <row r="9724" s="1" customFormat="1" ht="15" x14ac:dyDescent="0.25"/>
    <row r="9725" s="1" customFormat="1" ht="15" x14ac:dyDescent="0.25"/>
    <row r="9726" s="1" customFormat="1" ht="15" x14ac:dyDescent="0.25"/>
    <row r="9727" s="1" customFormat="1" ht="15" x14ac:dyDescent="0.25"/>
    <row r="9728" s="1" customFormat="1" ht="15" x14ac:dyDescent="0.25"/>
    <row r="9729" s="1" customFormat="1" ht="15" x14ac:dyDescent="0.25"/>
    <row r="9730" s="1" customFormat="1" ht="15" x14ac:dyDescent="0.25"/>
    <row r="9731" s="1" customFormat="1" ht="15" x14ac:dyDescent="0.25"/>
    <row r="9732" s="1" customFormat="1" ht="15" x14ac:dyDescent="0.25"/>
    <row r="9733" s="1" customFormat="1" ht="15" x14ac:dyDescent="0.25"/>
    <row r="9734" s="1" customFormat="1" ht="15" x14ac:dyDescent="0.25"/>
    <row r="9735" s="1" customFormat="1" ht="15" x14ac:dyDescent="0.25"/>
    <row r="9736" s="1" customFormat="1" ht="15" x14ac:dyDescent="0.25"/>
    <row r="9737" s="1" customFormat="1" ht="15" x14ac:dyDescent="0.25"/>
    <row r="9738" s="1" customFormat="1" ht="15" x14ac:dyDescent="0.25"/>
    <row r="9739" s="1" customFormat="1" ht="15" x14ac:dyDescent="0.25"/>
    <row r="9740" s="1" customFormat="1" ht="15" x14ac:dyDescent="0.25"/>
    <row r="9741" s="1" customFormat="1" ht="15" x14ac:dyDescent="0.25"/>
    <row r="9742" s="1" customFormat="1" ht="15" x14ac:dyDescent="0.25"/>
    <row r="9743" s="1" customFormat="1" ht="15" x14ac:dyDescent="0.25"/>
    <row r="9744" s="1" customFormat="1" ht="15" x14ac:dyDescent="0.25"/>
    <row r="9745" s="1" customFormat="1" ht="15" x14ac:dyDescent="0.25"/>
    <row r="9746" s="1" customFormat="1" ht="15" x14ac:dyDescent="0.25"/>
    <row r="9747" s="1" customFormat="1" ht="15" x14ac:dyDescent="0.25"/>
    <row r="9748" s="1" customFormat="1" ht="15" x14ac:dyDescent="0.25"/>
    <row r="9749" s="1" customFormat="1" ht="15" x14ac:dyDescent="0.25"/>
    <row r="9750" s="1" customFormat="1" ht="15" x14ac:dyDescent="0.25"/>
    <row r="9751" s="1" customFormat="1" ht="15" x14ac:dyDescent="0.25"/>
    <row r="9752" s="1" customFormat="1" ht="15" x14ac:dyDescent="0.25"/>
    <row r="9753" s="1" customFormat="1" ht="15" x14ac:dyDescent="0.25"/>
    <row r="9754" s="1" customFormat="1" ht="15" x14ac:dyDescent="0.25"/>
    <row r="9755" s="1" customFormat="1" ht="15" x14ac:dyDescent="0.25"/>
    <row r="9756" s="1" customFormat="1" ht="15" x14ac:dyDescent="0.25"/>
    <row r="9757" s="1" customFormat="1" ht="15" x14ac:dyDescent="0.25"/>
    <row r="9758" s="1" customFormat="1" ht="15" x14ac:dyDescent="0.25"/>
    <row r="9759" s="1" customFormat="1" ht="15" x14ac:dyDescent="0.25"/>
    <row r="9760" s="1" customFormat="1" ht="15" x14ac:dyDescent="0.25"/>
    <row r="9761" s="1" customFormat="1" ht="15" x14ac:dyDescent="0.25"/>
    <row r="9762" s="1" customFormat="1" ht="15" x14ac:dyDescent="0.25"/>
    <row r="9763" s="1" customFormat="1" ht="15" x14ac:dyDescent="0.25"/>
    <row r="9764" s="1" customFormat="1" ht="15" x14ac:dyDescent="0.25"/>
    <row r="9765" s="1" customFormat="1" ht="15" x14ac:dyDescent="0.25"/>
    <row r="9766" s="1" customFormat="1" ht="15" x14ac:dyDescent="0.25"/>
    <row r="9767" s="1" customFormat="1" ht="15" x14ac:dyDescent="0.25"/>
    <row r="9768" s="1" customFormat="1" ht="15" x14ac:dyDescent="0.25"/>
    <row r="9769" s="1" customFormat="1" ht="15" x14ac:dyDescent="0.25"/>
    <row r="9770" s="1" customFormat="1" ht="15" x14ac:dyDescent="0.25"/>
    <row r="9771" s="1" customFormat="1" ht="15" x14ac:dyDescent="0.25"/>
    <row r="9772" s="1" customFormat="1" ht="15" x14ac:dyDescent="0.25"/>
    <row r="9773" s="1" customFormat="1" ht="15" x14ac:dyDescent="0.25"/>
    <row r="9774" s="1" customFormat="1" ht="15" x14ac:dyDescent="0.25"/>
    <row r="9775" s="1" customFormat="1" ht="15" x14ac:dyDescent="0.25"/>
    <row r="9776" s="1" customFormat="1" ht="15" x14ac:dyDescent="0.25"/>
    <row r="9777" s="1" customFormat="1" ht="15" x14ac:dyDescent="0.25"/>
    <row r="9778" s="1" customFormat="1" ht="15" x14ac:dyDescent="0.25"/>
    <row r="9779" s="1" customFormat="1" ht="15" x14ac:dyDescent="0.25"/>
    <row r="9780" s="1" customFormat="1" ht="15" x14ac:dyDescent="0.25"/>
    <row r="9781" s="1" customFormat="1" ht="15" x14ac:dyDescent="0.25"/>
    <row r="9782" s="1" customFormat="1" ht="15" x14ac:dyDescent="0.25"/>
    <row r="9783" s="1" customFormat="1" ht="15" x14ac:dyDescent="0.25"/>
    <row r="9784" s="1" customFormat="1" ht="15" x14ac:dyDescent="0.25"/>
    <row r="9785" s="1" customFormat="1" ht="15" x14ac:dyDescent="0.25"/>
    <row r="9786" s="1" customFormat="1" ht="15" x14ac:dyDescent="0.25"/>
    <row r="9787" s="1" customFormat="1" ht="15" x14ac:dyDescent="0.25"/>
    <row r="9788" s="1" customFormat="1" ht="15" x14ac:dyDescent="0.25"/>
    <row r="9789" s="1" customFormat="1" ht="15" x14ac:dyDescent="0.25"/>
    <row r="9790" s="1" customFormat="1" ht="15" x14ac:dyDescent="0.25"/>
    <row r="9791" s="1" customFormat="1" ht="15" x14ac:dyDescent="0.25"/>
    <row r="9792" s="1" customFormat="1" ht="15" x14ac:dyDescent="0.25"/>
    <row r="9793" s="1" customFormat="1" ht="15" x14ac:dyDescent="0.25"/>
    <row r="9794" s="1" customFormat="1" ht="15" x14ac:dyDescent="0.25"/>
    <row r="9795" s="1" customFormat="1" ht="15" x14ac:dyDescent="0.25"/>
    <row r="9796" s="1" customFormat="1" ht="15" x14ac:dyDescent="0.25"/>
    <row r="9797" s="1" customFormat="1" ht="15" x14ac:dyDescent="0.25"/>
    <row r="9798" s="1" customFormat="1" ht="15" x14ac:dyDescent="0.25"/>
    <row r="9799" s="1" customFormat="1" ht="15" x14ac:dyDescent="0.25"/>
    <row r="9800" s="1" customFormat="1" ht="15" x14ac:dyDescent="0.25"/>
    <row r="9801" s="1" customFormat="1" ht="15" x14ac:dyDescent="0.25"/>
    <row r="9802" s="1" customFormat="1" ht="15" x14ac:dyDescent="0.25"/>
    <row r="9803" s="1" customFormat="1" ht="15" x14ac:dyDescent="0.25"/>
    <row r="9804" s="1" customFormat="1" ht="15" x14ac:dyDescent="0.25"/>
    <row r="9805" s="1" customFormat="1" ht="15" x14ac:dyDescent="0.25"/>
    <row r="9806" s="1" customFormat="1" ht="15" x14ac:dyDescent="0.25"/>
    <row r="9807" s="1" customFormat="1" ht="15" x14ac:dyDescent="0.25"/>
    <row r="9808" s="1" customFormat="1" ht="15" x14ac:dyDescent="0.25"/>
    <row r="9809" s="1" customFormat="1" ht="15" x14ac:dyDescent="0.25"/>
    <row r="9810" s="1" customFormat="1" ht="15" x14ac:dyDescent="0.25"/>
    <row r="9811" s="1" customFormat="1" ht="15" x14ac:dyDescent="0.25"/>
    <row r="9812" s="1" customFormat="1" ht="15" x14ac:dyDescent="0.25"/>
    <row r="9813" s="1" customFormat="1" ht="15" x14ac:dyDescent="0.25"/>
    <row r="9814" s="1" customFormat="1" ht="15" x14ac:dyDescent="0.25"/>
    <row r="9815" s="1" customFormat="1" ht="15" x14ac:dyDescent="0.25"/>
    <row r="9816" s="1" customFormat="1" ht="15" x14ac:dyDescent="0.25"/>
    <row r="9817" s="1" customFormat="1" ht="15" x14ac:dyDescent="0.25"/>
    <row r="9818" s="1" customFormat="1" ht="15" x14ac:dyDescent="0.25"/>
    <row r="9819" s="1" customFormat="1" ht="15" x14ac:dyDescent="0.25"/>
    <row r="9820" s="1" customFormat="1" ht="15" x14ac:dyDescent="0.25"/>
    <row r="9821" s="1" customFormat="1" ht="15" x14ac:dyDescent="0.25"/>
    <row r="9822" s="1" customFormat="1" ht="15" x14ac:dyDescent="0.25"/>
    <row r="9823" s="1" customFormat="1" ht="15" x14ac:dyDescent="0.25"/>
    <row r="9824" s="1" customFormat="1" ht="15" x14ac:dyDescent="0.25"/>
    <row r="9825" s="1" customFormat="1" ht="15" x14ac:dyDescent="0.25"/>
    <row r="9826" s="1" customFormat="1" ht="15" x14ac:dyDescent="0.25"/>
    <row r="9827" s="1" customFormat="1" ht="15" x14ac:dyDescent="0.25"/>
    <row r="9828" s="1" customFormat="1" ht="15" x14ac:dyDescent="0.25"/>
    <row r="9829" s="1" customFormat="1" ht="15" x14ac:dyDescent="0.25"/>
    <row r="9830" s="1" customFormat="1" ht="15" x14ac:dyDescent="0.25"/>
    <row r="9831" s="1" customFormat="1" ht="15" x14ac:dyDescent="0.25"/>
    <row r="9832" s="1" customFormat="1" ht="15" x14ac:dyDescent="0.25"/>
    <row r="9833" s="1" customFormat="1" ht="15" x14ac:dyDescent="0.25"/>
    <row r="9834" s="1" customFormat="1" ht="15" x14ac:dyDescent="0.25"/>
    <row r="9835" s="1" customFormat="1" ht="15" x14ac:dyDescent="0.25"/>
    <row r="9836" s="1" customFormat="1" ht="15" x14ac:dyDescent="0.25"/>
    <row r="9837" s="1" customFormat="1" ht="15" x14ac:dyDescent="0.25"/>
    <row r="9838" s="1" customFormat="1" ht="15" x14ac:dyDescent="0.25"/>
    <row r="9839" s="1" customFormat="1" ht="15" x14ac:dyDescent="0.25"/>
    <row r="9840" s="1" customFormat="1" ht="15" x14ac:dyDescent="0.25"/>
    <row r="9841" s="1" customFormat="1" ht="15" x14ac:dyDescent="0.25"/>
    <row r="9842" s="1" customFormat="1" ht="15" x14ac:dyDescent="0.25"/>
    <row r="9843" s="1" customFormat="1" ht="15" x14ac:dyDescent="0.25"/>
    <row r="9844" s="1" customFormat="1" ht="15" x14ac:dyDescent="0.25"/>
    <row r="9845" s="1" customFormat="1" ht="15" x14ac:dyDescent="0.25"/>
    <row r="9846" s="1" customFormat="1" ht="15" x14ac:dyDescent="0.25"/>
    <row r="9847" s="1" customFormat="1" ht="15" x14ac:dyDescent="0.25"/>
    <row r="9848" s="1" customFormat="1" ht="15" x14ac:dyDescent="0.25"/>
    <row r="9849" s="1" customFormat="1" ht="15" x14ac:dyDescent="0.25"/>
    <row r="9850" s="1" customFormat="1" ht="15" x14ac:dyDescent="0.25"/>
    <row r="9851" s="1" customFormat="1" ht="15" x14ac:dyDescent="0.25"/>
    <row r="9852" s="1" customFormat="1" ht="15" x14ac:dyDescent="0.25"/>
    <row r="9853" s="1" customFormat="1" ht="15" x14ac:dyDescent="0.25"/>
    <row r="9854" s="1" customFormat="1" ht="15" x14ac:dyDescent="0.25"/>
    <row r="9855" s="1" customFormat="1" ht="15" x14ac:dyDescent="0.25"/>
    <row r="9856" s="1" customFormat="1" ht="15" x14ac:dyDescent="0.25"/>
    <row r="9857" s="1" customFormat="1" ht="15" x14ac:dyDescent="0.25"/>
    <row r="9858" s="1" customFormat="1" ht="15" x14ac:dyDescent="0.25"/>
    <row r="9859" s="1" customFormat="1" ht="15" x14ac:dyDescent="0.25"/>
    <row r="9860" s="1" customFormat="1" ht="15" x14ac:dyDescent="0.25"/>
    <row r="9861" s="1" customFormat="1" ht="15" x14ac:dyDescent="0.25"/>
    <row r="9862" s="1" customFormat="1" ht="15" x14ac:dyDescent="0.25"/>
    <row r="9863" s="1" customFormat="1" ht="15" x14ac:dyDescent="0.25"/>
    <row r="9864" s="1" customFormat="1" ht="15" x14ac:dyDescent="0.25"/>
    <row r="9865" s="1" customFormat="1" ht="15" x14ac:dyDescent="0.25"/>
    <row r="9866" s="1" customFormat="1" ht="15" x14ac:dyDescent="0.25"/>
    <row r="9867" s="1" customFormat="1" ht="15" x14ac:dyDescent="0.25"/>
    <row r="9868" s="1" customFormat="1" ht="15" x14ac:dyDescent="0.25"/>
    <row r="9869" s="1" customFormat="1" ht="15" x14ac:dyDescent="0.25"/>
    <row r="9870" s="1" customFormat="1" ht="15" x14ac:dyDescent="0.25"/>
    <row r="9871" s="1" customFormat="1" ht="15" x14ac:dyDescent="0.25"/>
    <row r="9872" s="1" customFormat="1" ht="15" x14ac:dyDescent="0.25"/>
    <row r="9873" s="1" customFormat="1" ht="15" x14ac:dyDescent="0.25"/>
    <row r="9874" s="1" customFormat="1" ht="15" x14ac:dyDescent="0.25"/>
    <row r="9875" s="1" customFormat="1" ht="15" x14ac:dyDescent="0.25"/>
    <row r="9876" s="1" customFormat="1" ht="15" x14ac:dyDescent="0.25"/>
    <row r="9877" s="1" customFormat="1" ht="15" x14ac:dyDescent="0.25"/>
    <row r="9878" s="1" customFormat="1" ht="15" x14ac:dyDescent="0.25"/>
    <row r="9879" s="1" customFormat="1" ht="15" x14ac:dyDescent="0.25"/>
    <row r="9880" s="1" customFormat="1" ht="15" x14ac:dyDescent="0.25"/>
    <row r="9881" s="1" customFormat="1" ht="15" x14ac:dyDescent="0.25"/>
    <row r="9882" s="1" customFormat="1" ht="15" x14ac:dyDescent="0.25"/>
    <row r="9883" s="1" customFormat="1" ht="15" x14ac:dyDescent="0.25"/>
    <row r="9884" s="1" customFormat="1" ht="15" x14ac:dyDescent="0.25"/>
    <row r="9885" s="1" customFormat="1" ht="15" x14ac:dyDescent="0.25"/>
    <row r="9886" s="1" customFormat="1" ht="15" x14ac:dyDescent="0.25"/>
    <row r="9887" s="1" customFormat="1" ht="15" x14ac:dyDescent="0.25"/>
    <row r="9888" s="1" customFormat="1" ht="15" x14ac:dyDescent="0.25"/>
    <row r="9889" s="1" customFormat="1" ht="15" x14ac:dyDescent="0.25"/>
    <row r="9890" s="1" customFormat="1" ht="15" x14ac:dyDescent="0.25"/>
    <row r="9891" s="1" customFormat="1" ht="15" x14ac:dyDescent="0.25"/>
    <row r="9892" s="1" customFormat="1" ht="15" x14ac:dyDescent="0.25"/>
    <row r="9893" s="1" customFormat="1" ht="15" x14ac:dyDescent="0.25"/>
    <row r="9894" s="1" customFormat="1" ht="15" x14ac:dyDescent="0.25"/>
    <row r="9895" s="1" customFormat="1" ht="15" x14ac:dyDescent="0.25"/>
    <row r="9896" s="1" customFormat="1" ht="15" x14ac:dyDescent="0.25"/>
    <row r="9897" s="1" customFormat="1" ht="15" x14ac:dyDescent="0.25"/>
    <row r="9898" s="1" customFormat="1" ht="15" x14ac:dyDescent="0.25"/>
    <row r="9899" s="1" customFormat="1" ht="15" x14ac:dyDescent="0.25"/>
    <row r="9900" s="1" customFormat="1" ht="15" x14ac:dyDescent="0.25"/>
    <row r="9901" s="1" customFormat="1" ht="15" x14ac:dyDescent="0.25"/>
    <row r="9902" s="1" customFormat="1" ht="15" x14ac:dyDescent="0.25"/>
    <row r="9903" s="1" customFormat="1" ht="15" x14ac:dyDescent="0.25"/>
    <row r="9904" s="1" customFormat="1" ht="15" x14ac:dyDescent="0.25"/>
    <row r="9905" s="1" customFormat="1" ht="15" x14ac:dyDescent="0.25"/>
    <row r="9906" s="1" customFormat="1" ht="15" x14ac:dyDescent="0.25"/>
    <row r="9907" s="1" customFormat="1" ht="15" x14ac:dyDescent="0.25"/>
    <row r="9908" s="1" customFormat="1" ht="15" x14ac:dyDescent="0.25"/>
    <row r="9909" s="1" customFormat="1" ht="15" x14ac:dyDescent="0.25"/>
    <row r="9910" s="1" customFormat="1" ht="15" x14ac:dyDescent="0.25"/>
    <row r="9911" s="1" customFormat="1" ht="15" x14ac:dyDescent="0.25"/>
    <row r="9912" s="1" customFormat="1" ht="15" x14ac:dyDescent="0.25"/>
    <row r="9913" s="1" customFormat="1" ht="15" x14ac:dyDescent="0.25"/>
    <row r="9914" s="1" customFormat="1" ht="15" x14ac:dyDescent="0.25"/>
    <row r="9915" s="1" customFormat="1" ht="15" x14ac:dyDescent="0.25"/>
    <row r="9916" s="1" customFormat="1" ht="15" x14ac:dyDescent="0.25"/>
    <row r="9917" s="1" customFormat="1" ht="15" x14ac:dyDescent="0.25"/>
    <row r="9918" s="1" customFormat="1" ht="15" x14ac:dyDescent="0.25"/>
    <row r="9919" s="1" customFormat="1" ht="15" x14ac:dyDescent="0.25"/>
    <row r="9920" s="1" customFormat="1" ht="15" x14ac:dyDescent="0.25"/>
    <row r="9921" s="1" customFormat="1" ht="15" x14ac:dyDescent="0.25"/>
    <row r="9922" s="1" customFormat="1" ht="15" x14ac:dyDescent="0.25"/>
    <row r="9923" s="1" customFormat="1" ht="15" x14ac:dyDescent="0.25"/>
    <row r="9924" s="1" customFormat="1" ht="15" x14ac:dyDescent="0.25"/>
    <row r="9925" s="1" customFormat="1" ht="15" x14ac:dyDescent="0.25"/>
    <row r="9926" s="1" customFormat="1" ht="15" x14ac:dyDescent="0.25"/>
    <row r="9927" s="1" customFormat="1" ht="15" x14ac:dyDescent="0.25"/>
    <row r="9928" s="1" customFormat="1" ht="15" x14ac:dyDescent="0.25"/>
    <row r="9929" s="1" customFormat="1" ht="15" x14ac:dyDescent="0.25"/>
    <row r="9930" s="1" customFormat="1" ht="15" x14ac:dyDescent="0.25"/>
    <row r="9931" s="1" customFormat="1" ht="15" x14ac:dyDescent="0.25"/>
    <row r="9932" s="1" customFormat="1" ht="15" x14ac:dyDescent="0.25"/>
    <row r="9933" s="1" customFormat="1" ht="15" x14ac:dyDescent="0.25"/>
    <row r="9934" s="1" customFormat="1" ht="15" x14ac:dyDescent="0.25"/>
    <row r="9935" s="1" customFormat="1" ht="15" x14ac:dyDescent="0.25"/>
    <row r="9936" s="1" customFormat="1" ht="15" x14ac:dyDescent="0.25"/>
    <row r="9937" s="1" customFormat="1" ht="15" x14ac:dyDescent="0.25"/>
    <row r="9938" s="1" customFormat="1" ht="15" x14ac:dyDescent="0.25"/>
    <row r="9939" s="1" customFormat="1" ht="15" x14ac:dyDescent="0.25"/>
    <row r="9940" s="1" customFormat="1" ht="15" x14ac:dyDescent="0.25"/>
    <row r="9941" s="1" customFormat="1" ht="15" x14ac:dyDescent="0.25"/>
    <row r="9942" s="1" customFormat="1" ht="15" x14ac:dyDescent="0.25"/>
    <row r="9943" s="1" customFormat="1" ht="15" x14ac:dyDescent="0.25"/>
    <row r="9944" s="1" customFormat="1" ht="15" x14ac:dyDescent="0.25"/>
    <row r="9945" s="1" customFormat="1" ht="15" x14ac:dyDescent="0.25"/>
    <row r="9946" s="1" customFormat="1" ht="15" x14ac:dyDescent="0.25"/>
    <row r="9947" s="1" customFormat="1" ht="15" x14ac:dyDescent="0.25"/>
    <row r="9948" s="1" customFormat="1" ht="15" x14ac:dyDescent="0.25"/>
    <row r="9949" s="1" customFormat="1" ht="15" x14ac:dyDescent="0.25"/>
    <row r="9950" s="1" customFormat="1" ht="15" x14ac:dyDescent="0.25"/>
    <row r="9951" s="1" customFormat="1" ht="15" x14ac:dyDescent="0.25"/>
    <row r="9952" s="1" customFormat="1" ht="15" x14ac:dyDescent="0.25"/>
    <row r="9953" s="1" customFormat="1" ht="15" x14ac:dyDescent="0.25"/>
    <row r="9954" s="1" customFormat="1" ht="15" x14ac:dyDescent="0.25"/>
    <row r="9955" s="1" customFormat="1" ht="15" x14ac:dyDescent="0.25"/>
    <row r="9956" s="1" customFormat="1" ht="15" x14ac:dyDescent="0.25"/>
    <row r="9957" s="1" customFormat="1" ht="15" x14ac:dyDescent="0.25"/>
    <row r="9958" s="1" customFormat="1" ht="15" x14ac:dyDescent="0.25"/>
    <row r="9959" s="1" customFormat="1" ht="15" x14ac:dyDescent="0.25"/>
    <row r="9960" s="1" customFormat="1" ht="15" x14ac:dyDescent="0.25"/>
    <row r="9961" s="1" customFormat="1" ht="15" x14ac:dyDescent="0.25"/>
    <row r="9962" s="1" customFormat="1" ht="15" x14ac:dyDescent="0.25"/>
    <row r="9963" s="1" customFormat="1" ht="15" x14ac:dyDescent="0.25"/>
    <row r="9964" s="1" customFormat="1" ht="15" x14ac:dyDescent="0.25"/>
    <row r="9965" s="1" customFormat="1" ht="15" x14ac:dyDescent="0.25"/>
    <row r="9966" s="1" customFormat="1" ht="15" x14ac:dyDescent="0.25"/>
    <row r="9967" s="1" customFormat="1" ht="15" x14ac:dyDescent="0.25"/>
    <row r="9968" s="1" customFormat="1" ht="15" x14ac:dyDescent="0.25"/>
    <row r="9969" s="1" customFormat="1" ht="15" x14ac:dyDescent="0.25"/>
    <row r="9970" s="1" customFormat="1" ht="15" x14ac:dyDescent="0.25"/>
    <row r="9971" s="1" customFormat="1" ht="15" x14ac:dyDescent="0.25"/>
    <row r="9972" s="1" customFormat="1" ht="15" x14ac:dyDescent="0.25"/>
    <row r="9973" s="1" customFormat="1" ht="15" x14ac:dyDescent="0.25"/>
    <row r="9974" s="1" customFormat="1" ht="15" x14ac:dyDescent="0.25"/>
    <row r="9975" s="1" customFormat="1" ht="15" x14ac:dyDescent="0.25"/>
    <row r="9976" s="1" customFormat="1" ht="15" x14ac:dyDescent="0.25"/>
    <row r="9977" s="1" customFormat="1" ht="15" x14ac:dyDescent="0.25"/>
    <row r="9978" s="1" customFormat="1" ht="15" x14ac:dyDescent="0.25"/>
    <row r="9979" s="1" customFormat="1" ht="15" x14ac:dyDescent="0.25"/>
    <row r="9980" s="1" customFormat="1" ht="15" x14ac:dyDescent="0.25"/>
    <row r="9981" s="1" customFormat="1" ht="15" x14ac:dyDescent="0.25"/>
    <row r="9982" s="1" customFormat="1" ht="15" x14ac:dyDescent="0.25"/>
    <row r="9983" s="1" customFormat="1" ht="15" x14ac:dyDescent="0.25"/>
    <row r="9984" s="1" customFormat="1" ht="15" x14ac:dyDescent="0.25"/>
    <row r="9985" s="1" customFormat="1" ht="15" x14ac:dyDescent="0.25"/>
    <row r="9986" s="1" customFormat="1" ht="15" x14ac:dyDescent="0.25"/>
    <row r="9987" s="1" customFormat="1" ht="15" x14ac:dyDescent="0.25"/>
    <row r="9988" s="1" customFormat="1" ht="15" x14ac:dyDescent="0.25"/>
    <row r="9989" s="1" customFormat="1" ht="15" x14ac:dyDescent="0.25"/>
    <row r="9990" s="1" customFormat="1" ht="15" x14ac:dyDescent="0.25"/>
    <row r="9991" s="1" customFormat="1" ht="15" x14ac:dyDescent="0.25"/>
    <row r="9992" s="1" customFormat="1" ht="15" x14ac:dyDescent="0.25"/>
    <row r="9993" s="1" customFormat="1" ht="15" x14ac:dyDescent="0.25"/>
    <row r="9994" s="1" customFormat="1" ht="15" x14ac:dyDescent="0.25"/>
    <row r="9995" s="1" customFormat="1" ht="15" x14ac:dyDescent="0.25"/>
    <row r="9996" s="1" customFormat="1" ht="15" x14ac:dyDescent="0.25"/>
    <row r="9997" s="1" customFormat="1" ht="15" x14ac:dyDescent="0.25"/>
    <row r="9998" s="1" customFormat="1" ht="15" x14ac:dyDescent="0.25"/>
    <row r="9999" s="1" customFormat="1" ht="15" x14ac:dyDescent="0.25"/>
    <row r="10000" s="1" customFormat="1" ht="15" x14ac:dyDescent="0.25"/>
    <row r="10001" s="1" customFormat="1" ht="15" x14ac:dyDescent="0.25"/>
    <row r="10002" s="1" customFormat="1" ht="15" x14ac:dyDescent="0.25"/>
    <row r="10003" s="1" customFormat="1" ht="15" x14ac:dyDescent="0.25"/>
    <row r="10004" s="1" customFormat="1" ht="15" x14ac:dyDescent="0.25"/>
    <row r="10005" s="1" customFormat="1" ht="15" x14ac:dyDescent="0.25"/>
    <row r="10006" s="1" customFormat="1" ht="15" x14ac:dyDescent="0.25"/>
    <row r="10007" s="1" customFormat="1" ht="15" x14ac:dyDescent="0.25"/>
    <row r="10008" s="1" customFormat="1" ht="15" x14ac:dyDescent="0.25"/>
    <row r="10009" s="1" customFormat="1" ht="15" x14ac:dyDescent="0.25"/>
    <row r="10010" s="1" customFormat="1" ht="15" x14ac:dyDescent="0.25"/>
    <row r="10011" s="1" customFormat="1" ht="15" x14ac:dyDescent="0.25"/>
    <row r="10012" s="1" customFormat="1" ht="15" x14ac:dyDescent="0.25"/>
    <row r="10013" s="1" customFormat="1" ht="15" x14ac:dyDescent="0.25"/>
    <row r="10014" s="1" customFormat="1" ht="15" x14ac:dyDescent="0.25"/>
    <row r="10015" s="1" customFormat="1" ht="15" x14ac:dyDescent="0.25"/>
    <row r="10016" s="1" customFormat="1" ht="15" x14ac:dyDescent="0.25"/>
    <row r="10017" s="1" customFormat="1" ht="15" x14ac:dyDescent="0.25"/>
    <row r="10018" s="1" customFormat="1" ht="15" x14ac:dyDescent="0.25"/>
    <row r="10019" s="1" customFormat="1" ht="15" x14ac:dyDescent="0.25"/>
    <row r="10020" s="1" customFormat="1" ht="15" x14ac:dyDescent="0.25"/>
    <row r="10021" s="1" customFormat="1" ht="15" x14ac:dyDescent="0.25"/>
    <row r="10022" s="1" customFormat="1" ht="15" x14ac:dyDescent="0.25"/>
    <row r="10023" s="1" customFormat="1" ht="15" x14ac:dyDescent="0.25"/>
    <row r="10024" s="1" customFormat="1" ht="15" x14ac:dyDescent="0.25"/>
    <row r="10025" s="1" customFormat="1" ht="15" x14ac:dyDescent="0.25"/>
    <row r="10026" s="1" customFormat="1" ht="15" x14ac:dyDescent="0.25"/>
    <row r="10027" s="1" customFormat="1" ht="15" x14ac:dyDescent="0.25"/>
    <row r="10028" s="1" customFormat="1" ht="15" x14ac:dyDescent="0.25"/>
    <row r="10029" s="1" customFormat="1" ht="15" x14ac:dyDescent="0.25"/>
    <row r="10030" s="1" customFormat="1" ht="15" x14ac:dyDescent="0.25"/>
    <row r="10031" s="1" customFormat="1" ht="15" x14ac:dyDescent="0.25"/>
    <row r="10032" s="1" customFormat="1" ht="15" x14ac:dyDescent="0.25"/>
    <row r="10033" s="1" customFormat="1" ht="15" x14ac:dyDescent="0.25"/>
    <row r="10034" s="1" customFormat="1" ht="15" x14ac:dyDescent="0.25"/>
    <row r="10035" s="1" customFormat="1" ht="15" x14ac:dyDescent="0.25"/>
    <row r="10036" s="1" customFormat="1" ht="15" x14ac:dyDescent="0.25"/>
    <row r="10037" s="1" customFormat="1" ht="15" x14ac:dyDescent="0.25"/>
    <row r="10038" s="1" customFormat="1" ht="15" x14ac:dyDescent="0.25"/>
    <row r="10039" s="1" customFormat="1" ht="15" x14ac:dyDescent="0.25"/>
    <row r="10040" s="1" customFormat="1" ht="15" x14ac:dyDescent="0.25"/>
    <row r="10041" s="1" customFormat="1" ht="15" x14ac:dyDescent="0.25"/>
    <row r="10042" s="1" customFormat="1" ht="15" x14ac:dyDescent="0.25"/>
    <row r="10043" s="1" customFormat="1" ht="15" x14ac:dyDescent="0.25"/>
    <row r="10044" s="1" customFormat="1" ht="15" x14ac:dyDescent="0.25"/>
    <row r="10045" s="1" customFormat="1" ht="15" x14ac:dyDescent="0.25"/>
    <row r="10046" s="1" customFormat="1" ht="15" x14ac:dyDescent="0.25"/>
    <row r="10047" s="1" customFormat="1" ht="15" x14ac:dyDescent="0.25"/>
    <row r="10048" s="1" customFormat="1" ht="15" x14ac:dyDescent="0.25"/>
    <row r="10049" s="1" customFormat="1" ht="15" x14ac:dyDescent="0.25"/>
    <row r="10050" s="1" customFormat="1" ht="15" x14ac:dyDescent="0.25"/>
    <row r="10051" s="1" customFormat="1" ht="15" x14ac:dyDescent="0.25"/>
    <row r="10052" s="1" customFormat="1" ht="15" x14ac:dyDescent="0.25"/>
    <row r="10053" s="1" customFormat="1" ht="15" x14ac:dyDescent="0.25"/>
    <row r="10054" s="1" customFormat="1" ht="15" x14ac:dyDescent="0.25"/>
    <row r="10055" s="1" customFormat="1" ht="15" x14ac:dyDescent="0.25"/>
    <row r="10056" s="1" customFormat="1" ht="15" x14ac:dyDescent="0.25"/>
    <row r="10057" s="1" customFormat="1" ht="15" x14ac:dyDescent="0.25"/>
    <row r="10058" s="1" customFormat="1" ht="15" x14ac:dyDescent="0.25"/>
    <row r="10059" s="1" customFormat="1" ht="15" x14ac:dyDescent="0.25"/>
    <row r="10060" s="1" customFormat="1" ht="15" x14ac:dyDescent="0.25"/>
    <row r="10061" s="1" customFormat="1" ht="15" x14ac:dyDescent="0.25"/>
    <row r="10062" s="1" customFormat="1" ht="15" x14ac:dyDescent="0.25"/>
    <row r="10063" s="1" customFormat="1" ht="15" x14ac:dyDescent="0.25"/>
    <row r="10064" s="1" customFormat="1" ht="15" x14ac:dyDescent="0.25"/>
    <row r="10065" s="1" customFormat="1" ht="15" x14ac:dyDescent="0.25"/>
    <row r="10066" s="1" customFormat="1" ht="15" x14ac:dyDescent="0.25"/>
    <row r="10067" s="1" customFormat="1" ht="15" x14ac:dyDescent="0.25"/>
    <row r="10068" s="1" customFormat="1" ht="15" x14ac:dyDescent="0.25"/>
    <row r="10069" s="1" customFormat="1" ht="15" x14ac:dyDescent="0.25"/>
    <row r="10070" s="1" customFormat="1" ht="15" x14ac:dyDescent="0.25"/>
    <row r="10071" s="1" customFormat="1" ht="15" x14ac:dyDescent="0.25"/>
    <row r="10072" s="1" customFormat="1" ht="15" x14ac:dyDescent="0.25"/>
    <row r="10073" s="1" customFormat="1" ht="15" x14ac:dyDescent="0.25"/>
    <row r="10074" s="1" customFormat="1" ht="15" x14ac:dyDescent="0.25"/>
    <row r="10075" s="1" customFormat="1" ht="15" x14ac:dyDescent="0.25"/>
    <row r="10076" s="1" customFormat="1" ht="15" x14ac:dyDescent="0.25"/>
    <row r="10077" s="1" customFormat="1" ht="15" x14ac:dyDescent="0.25"/>
    <row r="10078" s="1" customFormat="1" ht="15" x14ac:dyDescent="0.25"/>
    <row r="10079" s="1" customFormat="1" ht="15" x14ac:dyDescent="0.25"/>
    <row r="10080" s="1" customFormat="1" ht="15" x14ac:dyDescent="0.25"/>
    <row r="10081" s="1" customFormat="1" ht="15" x14ac:dyDescent="0.25"/>
    <row r="10082" s="1" customFormat="1" ht="15" x14ac:dyDescent="0.25"/>
    <row r="10083" s="1" customFormat="1" ht="15" x14ac:dyDescent="0.25"/>
    <row r="10084" s="1" customFormat="1" ht="15" x14ac:dyDescent="0.25"/>
    <row r="10085" s="1" customFormat="1" ht="15" x14ac:dyDescent="0.25"/>
    <row r="10086" s="1" customFormat="1" ht="15" x14ac:dyDescent="0.25"/>
    <row r="10087" s="1" customFormat="1" ht="15" x14ac:dyDescent="0.25"/>
    <row r="10088" s="1" customFormat="1" ht="15" x14ac:dyDescent="0.25"/>
    <row r="10089" s="1" customFormat="1" ht="15" x14ac:dyDescent="0.25"/>
    <row r="10090" s="1" customFormat="1" ht="15" x14ac:dyDescent="0.25"/>
    <row r="10091" s="1" customFormat="1" ht="15" x14ac:dyDescent="0.25"/>
    <row r="10092" s="1" customFormat="1" ht="15" x14ac:dyDescent="0.25"/>
    <row r="10093" s="1" customFormat="1" ht="15" x14ac:dyDescent="0.25"/>
    <row r="10094" s="1" customFormat="1" ht="15" x14ac:dyDescent="0.25"/>
    <row r="10095" s="1" customFormat="1" ht="15" x14ac:dyDescent="0.25"/>
    <row r="10096" s="1" customFormat="1" ht="15" x14ac:dyDescent="0.25"/>
    <row r="10097" s="1" customFormat="1" ht="15" x14ac:dyDescent="0.25"/>
    <row r="10098" s="1" customFormat="1" ht="15" x14ac:dyDescent="0.25"/>
    <row r="10099" s="1" customFormat="1" ht="15" x14ac:dyDescent="0.25"/>
    <row r="10100" s="1" customFormat="1" ht="15" x14ac:dyDescent="0.25"/>
    <row r="10101" s="1" customFormat="1" ht="15" x14ac:dyDescent="0.25"/>
    <row r="10102" s="1" customFormat="1" ht="15" x14ac:dyDescent="0.25"/>
    <row r="10103" s="1" customFormat="1" ht="15" x14ac:dyDescent="0.25"/>
    <row r="10104" s="1" customFormat="1" ht="15" x14ac:dyDescent="0.25"/>
    <row r="10105" s="1" customFormat="1" ht="15" x14ac:dyDescent="0.25"/>
    <row r="10106" s="1" customFormat="1" ht="15" x14ac:dyDescent="0.25"/>
    <row r="10107" s="1" customFormat="1" ht="15" x14ac:dyDescent="0.25"/>
    <row r="10108" s="1" customFormat="1" ht="15" x14ac:dyDescent="0.25"/>
    <row r="10109" s="1" customFormat="1" ht="15" x14ac:dyDescent="0.25"/>
    <row r="10110" s="1" customFormat="1" ht="15" x14ac:dyDescent="0.25"/>
    <row r="10111" s="1" customFormat="1" ht="15" x14ac:dyDescent="0.25"/>
    <row r="10112" s="1" customFormat="1" ht="15" x14ac:dyDescent="0.25"/>
    <row r="10113" s="1" customFormat="1" ht="15" x14ac:dyDescent="0.25"/>
    <row r="10114" s="1" customFormat="1" ht="15" x14ac:dyDescent="0.25"/>
    <row r="10115" s="1" customFormat="1" ht="15" x14ac:dyDescent="0.25"/>
    <row r="10116" s="1" customFormat="1" ht="15" x14ac:dyDescent="0.25"/>
    <row r="10117" s="1" customFormat="1" ht="15" x14ac:dyDescent="0.25"/>
    <row r="10118" s="1" customFormat="1" ht="15" x14ac:dyDescent="0.25"/>
    <row r="10119" s="1" customFormat="1" ht="15" x14ac:dyDescent="0.25"/>
    <row r="10120" s="1" customFormat="1" ht="15" x14ac:dyDescent="0.25"/>
    <row r="10121" s="1" customFormat="1" ht="15" x14ac:dyDescent="0.25"/>
    <row r="10122" s="1" customFormat="1" ht="15" x14ac:dyDescent="0.25"/>
    <row r="10123" s="1" customFormat="1" ht="15" x14ac:dyDescent="0.25"/>
    <row r="10124" s="1" customFormat="1" ht="15" x14ac:dyDescent="0.25"/>
    <row r="10125" s="1" customFormat="1" ht="15" x14ac:dyDescent="0.25"/>
    <row r="10126" s="1" customFormat="1" ht="15" x14ac:dyDescent="0.25"/>
    <row r="10127" s="1" customFormat="1" ht="15" x14ac:dyDescent="0.25"/>
    <row r="10128" s="1" customFormat="1" ht="15" x14ac:dyDescent="0.25"/>
    <row r="10129" s="1" customFormat="1" ht="15" x14ac:dyDescent="0.25"/>
    <row r="10130" s="1" customFormat="1" ht="15" x14ac:dyDescent="0.25"/>
    <row r="10131" s="1" customFormat="1" ht="15" x14ac:dyDescent="0.25"/>
    <row r="10132" s="1" customFormat="1" ht="15" x14ac:dyDescent="0.25"/>
    <row r="10133" s="1" customFormat="1" ht="15" x14ac:dyDescent="0.25"/>
    <row r="10134" s="1" customFormat="1" ht="15" x14ac:dyDescent="0.25"/>
    <row r="10135" s="1" customFormat="1" ht="15" x14ac:dyDescent="0.25"/>
    <row r="10136" s="1" customFormat="1" ht="15" x14ac:dyDescent="0.25"/>
    <row r="10137" s="1" customFormat="1" ht="15" x14ac:dyDescent="0.25"/>
    <row r="10138" s="1" customFormat="1" ht="15" x14ac:dyDescent="0.25"/>
    <row r="10139" s="1" customFormat="1" ht="15" x14ac:dyDescent="0.25"/>
    <row r="10140" s="1" customFormat="1" ht="15" x14ac:dyDescent="0.25"/>
    <row r="10141" s="1" customFormat="1" ht="15" x14ac:dyDescent="0.25"/>
    <row r="10142" s="1" customFormat="1" ht="15" x14ac:dyDescent="0.25"/>
    <row r="10143" s="1" customFormat="1" ht="15" x14ac:dyDescent="0.25"/>
    <row r="10144" s="1" customFormat="1" ht="15" x14ac:dyDescent="0.25"/>
    <row r="10145" s="1" customFormat="1" ht="15" x14ac:dyDescent="0.25"/>
    <row r="10146" s="1" customFormat="1" ht="15" x14ac:dyDescent="0.25"/>
    <row r="10147" s="1" customFormat="1" ht="15" x14ac:dyDescent="0.25"/>
    <row r="10148" s="1" customFormat="1" ht="15" x14ac:dyDescent="0.25"/>
    <row r="10149" s="1" customFormat="1" ht="15" x14ac:dyDescent="0.25"/>
    <row r="10150" s="1" customFormat="1" ht="15" x14ac:dyDescent="0.25"/>
    <row r="10151" s="1" customFormat="1" ht="15" x14ac:dyDescent="0.25"/>
    <row r="10152" s="1" customFormat="1" ht="15" x14ac:dyDescent="0.25"/>
    <row r="10153" s="1" customFormat="1" ht="15" x14ac:dyDescent="0.25"/>
    <row r="10154" s="1" customFormat="1" ht="15" x14ac:dyDescent="0.25"/>
    <row r="10155" s="1" customFormat="1" ht="15" x14ac:dyDescent="0.25"/>
    <row r="10156" s="1" customFormat="1" ht="15" x14ac:dyDescent="0.25"/>
    <row r="10157" s="1" customFormat="1" ht="15" x14ac:dyDescent="0.25"/>
    <row r="10158" s="1" customFormat="1" ht="15" x14ac:dyDescent="0.25"/>
    <row r="10159" s="1" customFormat="1" ht="15" x14ac:dyDescent="0.25"/>
    <row r="10160" s="1" customFormat="1" ht="15" x14ac:dyDescent="0.25"/>
    <row r="10161" s="1" customFormat="1" ht="15" x14ac:dyDescent="0.25"/>
    <row r="10162" s="1" customFormat="1" ht="15" x14ac:dyDescent="0.25"/>
    <row r="10163" s="1" customFormat="1" ht="15" x14ac:dyDescent="0.25"/>
    <row r="10164" s="1" customFormat="1" ht="15" x14ac:dyDescent="0.25"/>
    <row r="10165" s="1" customFormat="1" ht="15" x14ac:dyDescent="0.25"/>
    <row r="10166" s="1" customFormat="1" ht="15" x14ac:dyDescent="0.25"/>
    <row r="10167" s="1" customFormat="1" ht="15" x14ac:dyDescent="0.25"/>
    <row r="10168" s="1" customFormat="1" ht="15" x14ac:dyDescent="0.25"/>
    <row r="10169" s="1" customFormat="1" ht="15" x14ac:dyDescent="0.25"/>
    <row r="10170" s="1" customFormat="1" ht="15" x14ac:dyDescent="0.25"/>
    <row r="10171" s="1" customFormat="1" ht="15" x14ac:dyDescent="0.25"/>
    <row r="10172" s="1" customFormat="1" ht="15" x14ac:dyDescent="0.25"/>
    <row r="10173" s="1" customFormat="1" ht="15" x14ac:dyDescent="0.25"/>
    <row r="10174" s="1" customFormat="1" ht="15" x14ac:dyDescent="0.25"/>
    <row r="10175" s="1" customFormat="1" ht="15" x14ac:dyDescent="0.25"/>
    <row r="10176" s="1" customFormat="1" ht="15" x14ac:dyDescent="0.25"/>
    <row r="10177" s="1" customFormat="1" ht="15" x14ac:dyDescent="0.25"/>
    <row r="10178" s="1" customFormat="1" ht="15" x14ac:dyDescent="0.25"/>
    <row r="10179" s="1" customFormat="1" ht="15" x14ac:dyDescent="0.25"/>
    <row r="10180" s="1" customFormat="1" ht="15" x14ac:dyDescent="0.25"/>
    <row r="10181" s="1" customFormat="1" ht="15" x14ac:dyDescent="0.25"/>
    <row r="10182" s="1" customFormat="1" ht="15" x14ac:dyDescent="0.25"/>
    <row r="10183" s="1" customFormat="1" ht="15" x14ac:dyDescent="0.25"/>
    <row r="10184" s="1" customFormat="1" ht="15" x14ac:dyDescent="0.25"/>
    <row r="10185" s="1" customFormat="1" ht="15" x14ac:dyDescent="0.25"/>
    <row r="10186" s="1" customFormat="1" ht="15" x14ac:dyDescent="0.25"/>
    <row r="10187" s="1" customFormat="1" ht="15" x14ac:dyDescent="0.25"/>
    <row r="10188" s="1" customFormat="1" ht="15" x14ac:dyDescent="0.25"/>
    <row r="10189" s="1" customFormat="1" ht="15" x14ac:dyDescent="0.25"/>
    <row r="10190" s="1" customFormat="1" ht="15" x14ac:dyDescent="0.25"/>
    <row r="10191" s="1" customFormat="1" ht="15" x14ac:dyDescent="0.25"/>
    <row r="10192" s="1" customFormat="1" ht="15" x14ac:dyDescent="0.25"/>
    <row r="10193" s="1" customFormat="1" ht="15" x14ac:dyDescent="0.25"/>
    <row r="10194" s="1" customFormat="1" ht="15" x14ac:dyDescent="0.25"/>
    <row r="10195" s="1" customFormat="1" ht="15" x14ac:dyDescent="0.25"/>
    <row r="10196" s="1" customFormat="1" ht="15" x14ac:dyDescent="0.25"/>
    <row r="10197" s="1" customFormat="1" ht="15" x14ac:dyDescent="0.25"/>
    <row r="10198" s="1" customFormat="1" ht="15" x14ac:dyDescent="0.25"/>
    <row r="10199" s="1" customFormat="1" ht="15" x14ac:dyDescent="0.25"/>
    <row r="10200" s="1" customFormat="1" ht="15" x14ac:dyDescent="0.25"/>
    <row r="10201" s="1" customFormat="1" ht="15" x14ac:dyDescent="0.25"/>
    <row r="10202" s="1" customFormat="1" ht="15" x14ac:dyDescent="0.25"/>
    <row r="10203" s="1" customFormat="1" ht="15" x14ac:dyDescent="0.25"/>
    <row r="10204" s="1" customFormat="1" ht="15" x14ac:dyDescent="0.25"/>
    <row r="10205" s="1" customFormat="1" ht="15" x14ac:dyDescent="0.25"/>
    <row r="10206" s="1" customFormat="1" ht="15" x14ac:dyDescent="0.25"/>
    <row r="10207" s="1" customFormat="1" ht="15" x14ac:dyDescent="0.25"/>
    <row r="10208" s="1" customFormat="1" ht="15" x14ac:dyDescent="0.25"/>
    <row r="10209" s="1" customFormat="1" ht="15" x14ac:dyDescent="0.25"/>
    <row r="10210" s="1" customFormat="1" ht="15" x14ac:dyDescent="0.25"/>
    <row r="10211" s="1" customFormat="1" ht="15" x14ac:dyDescent="0.25"/>
    <row r="10212" s="1" customFormat="1" ht="15" x14ac:dyDescent="0.25"/>
    <row r="10213" s="1" customFormat="1" ht="15" x14ac:dyDescent="0.25"/>
    <row r="10214" s="1" customFormat="1" ht="15" x14ac:dyDescent="0.25"/>
    <row r="10215" s="1" customFormat="1" ht="15" x14ac:dyDescent="0.25"/>
    <row r="10216" s="1" customFormat="1" ht="15" x14ac:dyDescent="0.25"/>
    <row r="10217" s="1" customFormat="1" ht="15" x14ac:dyDescent="0.25"/>
    <row r="10218" s="1" customFormat="1" ht="15" x14ac:dyDescent="0.25"/>
    <row r="10219" s="1" customFormat="1" ht="15" x14ac:dyDescent="0.25"/>
    <row r="10220" s="1" customFormat="1" ht="15" x14ac:dyDescent="0.25"/>
    <row r="10221" s="1" customFormat="1" ht="15" x14ac:dyDescent="0.25"/>
    <row r="10222" s="1" customFormat="1" ht="15" x14ac:dyDescent="0.25"/>
    <row r="10223" s="1" customFormat="1" ht="15" x14ac:dyDescent="0.25"/>
    <row r="10224" s="1" customFormat="1" ht="15" x14ac:dyDescent="0.25"/>
    <row r="10225" s="1" customFormat="1" ht="15" x14ac:dyDescent="0.25"/>
    <row r="10226" s="1" customFormat="1" ht="15" x14ac:dyDescent="0.25"/>
    <row r="10227" s="1" customFormat="1" ht="15" x14ac:dyDescent="0.25"/>
    <row r="10228" s="1" customFormat="1" ht="15" x14ac:dyDescent="0.25"/>
    <row r="10229" s="1" customFormat="1" ht="15" x14ac:dyDescent="0.25"/>
    <row r="10230" s="1" customFormat="1" ht="15" x14ac:dyDescent="0.25"/>
    <row r="10231" s="1" customFormat="1" ht="15" x14ac:dyDescent="0.25"/>
    <row r="10232" s="1" customFormat="1" ht="15" x14ac:dyDescent="0.25"/>
    <row r="10233" s="1" customFormat="1" ht="15" x14ac:dyDescent="0.25"/>
    <row r="10234" s="1" customFormat="1" ht="15" x14ac:dyDescent="0.25"/>
    <row r="10235" s="1" customFormat="1" ht="15" x14ac:dyDescent="0.25"/>
    <row r="10236" s="1" customFormat="1" ht="15" x14ac:dyDescent="0.25"/>
    <row r="10237" s="1" customFormat="1" ht="15" x14ac:dyDescent="0.25"/>
    <row r="10238" s="1" customFormat="1" ht="15" x14ac:dyDescent="0.25"/>
    <row r="10239" s="1" customFormat="1" ht="15" x14ac:dyDescent="0.25"/>
    <row r="10240" s="1" customFormat="1" ht="15" x14ac:dyDescent="0.25"/>
    <row r="10241" s="1" customFormat="1" ht="15" x14ac:dyDescent="0.25"/>
    <row r="10242" s="1" customFormat="1" ht="15" x14ac:dyDescent="0.25"/>
    <row r="10243" s="1" customFormat="1" ht="15" x14ac:dyDescent="0.25"/>
    <row r="10244" s="1" customFormat="1" ht="15" x14ac:dyDescent="0.25"/>
    <row r="10245" s="1" customFormat="1" ht="15" x14ac:dyDescent="0.25"/>
    <row r="10246" s="1" customFormat="1" ht="15" x14ac:dyDescent="0.25"/>
    <row r="10247" s="1" customFormat="1" ht="15" x14ac:dyDescent="0.25"/>
    <row r="10248" s="1" customFormat="1" ht="15" x14ac:dyDescent="0.25"/>
    <row r="10249" s="1" customFormat="1" ht="15" x14ac:dyDescent="0.25"/>
    <row r="10250" s="1" customFormat="1" ht="15" x14ac:dyDescent="0.25"/>
    <row r="10251" s="1" customFormat="1" ht="15" x14ac:dyDescent="0.25"/>
    <row r="10252" s="1" customFormat="1" ht="15" x14ac:dyDescent="0.25"/>
    <row r="10253" s="1" customFormat="1" ht="15" x14ac:dyDescent="0.25"/>
    <row r="10254" s="1" customFormat="1" ht="15" x14ac:dyDescent="0.25"/>
    <row r="10255" s="1" customFormat="1" ht="15" x14ac:dyDescent="0.25"/>
    <row r="10256" s="1" customFormat="1" ht="15" x14ac:dyDescent="0.25"/>
    <row r="10257" s="1" customFormat="1" ht="15" x14ac:dyDescent="0.25"/>
    <row r="10258" s="1" customFormat="1" ht="15" x14ac:dyDescent="0.25"/>
    <row r="10259" s="1" customFormat="1" ht="15" x14ac:dyDescent="0.25"/>
    <row r="10260" s="1" customFormat="1" ht="15" x14ac:dyDescent="0.25"/>
    <row r="10261" s="1" customFormat="1" ht="15" x14ac:dyDescent="0.25"/>
    <row r="10262" s="1" customFormat="1" ht="15" x14ac:dyDescent="0.25"/>
    <row r="10263" s="1" customFormat="1" ht="15" x14ac:dyDescent="0.25"/>
    <row r="10264" s="1" customFormat="1" ht="15" x14ac:dyDescent="0.25"/>
    <row r="10265" s="1" customFormat="1" ht="15" x14ac:dyDescent="0.25"/>
    <row r="10266" s="1" customFormat="1" ht="15" x14ac:dyDescent="0.25"/>
    <row r="10267" s="1" customFormat="1" ht="15" x14ac:dyDescent="0.25"/>
    <row r="10268" s="1" customFormat="1" ht="15" x14ac:dyDescent="0.25"/>
    <row r="10269" s="1" customFormat="1" ht="15" x14ac:dyDescent="0.25"/>
    <row r="10270" s="1" customFormat="1" ht="15" x14ac:dyDescent="0.25"/>
    <row r="10271" s="1" customFormat="1" ht="15" x14ac:dyDescent="0.25"/>
    <row r="10272" s="1" customFormat="1" ht="15" x14ac:dyDescent="0.25"/>
    <row r="10273" s="1" customFormat="1" ht="15" x14ac:dyDescent="0.25"/>
    <row r="10274" s="1" customFormat="1" ht="15" x14ac:dyDescent="0.25"/>
    <row r="10275" s="1" customFormat="1" ht="15" x14ac:dyDescent="0.25"/>
    <row r="10276" s="1" customFormat="1" ht="15" x14ac:dyDescent="0.25"/>
    <row r="10277" s="1" customFormat="1" ht="15" x14ac:dyDescent="0.25"/>
    <row r="10278" s="1" customFormat="1" ht="15" x14ac:dyDescent="0.25"/>
    <row r="10279" s="1" customFormat="1" ht="15" x14ac:dyDescent="0.25"/>
    <row r="10280" s="1" customFormat="1" ht="15" x14ac:dyDescent="0.25"/>
    <row r="10281" s="1" customFormat="1" ht="15" x14ac:dyDescent="0.25"/>
    <row r="10282" s="1" customFormat="1" ht="15" x14ac:dyDescent="0.25"/>
    <row r="10283" s="1" customFormat="1" ht="15" x14ac:dyDescent="0.25"/>
    <row r="10284" s="1" customFormat="1" ht="15" x14ac:dyDescent="0.25"/>
    <row r="10285" s="1" customFormat="1" ht="15" x14ac:dyDescent="0.25"/>
    <row r="10286" s="1" customFormat="1" ht="15" x14ac:dyDescent="0.25"/>
    <row r="10287" s="1" customFormat="1" ht="15" x14ac:dyDescent="0.25"/>
    <row r="10288" s="1" customFormat="1" ht="15" x14ac:dyDescent="0.25"/>
    <row r="10289" s="1" customFormat="1" ht="15" x14ac:dyDescent="0.25"/>
    <row r="10290" s="1" customFormat="1" ht="15" x14ac:dyDescent="0.25"/>
    <row r="10291" s="1" customFormat="1" ht="15" x14ac:dyDescent="0.25"/>
    <row r="10292" s="1" customFormat="1" ht="15" x14ac:dyDescent="0.25"/>
    <row r="10293" s="1" customFormat="1" ht="15" x14ac:dyDescent="0.25"/>
    <row r="10294" s="1" customFormat="1" ht="15" x14ac:dyDescent="0.25"/>
    <row r="10295" s="1" customFormat="1" ht="15" x14ac:dyDescent="0.25"/>
    <row r="10296" s="1" customFormat="1" ht="15" x14ac:dyDescent="0.25"/>
    <row r="10297" s="1" customFormat="1" ht="15" x14ac:dyDescent="0.25"/>
    <row r="10298" s="1" customFormat="1" ht="15" x14ac:dyDescent="0.25"/>
    <row r="10299" s="1" customFormat="1" ht="15" x14ac:dyDescent="0.25"/>
    <row r="10300" s="1" customFormat="1" ht="15" x14ac:dyDescent="0.25"/>
    <row r="10301" s="1" customFormat="1" ht="15" x14ac:dyDescent="0.25"/>
    <row r="10302" s="1" customFormat="1" ht="15" x14ac:dyDescent="0.25"/>
    <row r="10303" s="1" customFormat="1" ht="15" x14ac:dyDescent="0.25"/>
    <row r="10304" s="1" customFormat="1" ht="15" x14ac:dyDescent="0.25"/>
    <row r="10305" s="1" customFormat="1" ht="15" x14ac:dyDescent="0.25"/>
    <row r="10306" s="1" customFormat="1" ht="15" x14ac:dyDescent="0.25"/>
    <row r="10307" s="1" customFormat="1" ht="15" x14ac:dyDescent="0.25"/>
    <row r="10308" s="1" customFormat="1" ht="15" x14ac:dyDescent="0.25"/>
    <row r="10309" s="1" customFormat="1" ht="15" x14ac:dyDescent="0.25"/>
    <row r="10310" s="1" customFormat="1" ht="15" x14ac:dyDescent="0.25"/>
    <row r="10311" s="1" customFormat="1" ht="15" x14ac:dyDescent="0.25"/>
    <row r="10312" s="1" customFormat="1" ht="15" x14ac:dyDescent="0.25"/>
    <row r="10313" s="1" customFormat="1" ht="15" x14ac:dyDescent="0.25"/>
    <row r="10314" s="1" customFormat="1" ht="15" x14ac:dyDescent="0.25"/>
    <row r="10315" s="1" customFormat="1" ht="15" x14ac:dyDescent="0.25"/>
    <row r="10316" s="1" customFormat="1" ht="15" x14ac:dyDescent="0.25"/>
    <row r="10317" s="1" customFormat="1" ht="15" x14ac:dyDescent="0.25"/>
    <row r="10318" s="1" customFormat="1" ht="15" x14ac:dyDescent="0.25"/>
    <row r="10319" s="1" customFormat="1" ht="15" x14ac:dyDescent="0.25"/>
    <row r="10320" s="1" customFormat="1" ht="15" x14ac:dyDescent="0.25"/>
    <row r="10321" s="1" customFormat="1" ht="15" x14ac:dyDescent="0.25"/>
    <row r="10322" s="1" customFormat="1" ht="15" x14ac:dyDescent="0.25"/>
    <row r="10323" s="1" customFormat="1" ht="15" x14ac:dyDescent="0.25"/>
    <row r="10324" s="1" customFormat="1" ht="15" x14ac:dyDescent="0.25"/>
    <row r="10325" s="1" customFormat="1" ht="15" x14ac:dyDescent="0.25"/>
    <row r="10326" s="1" customFormat="1" ht="15" x14ac:dyDescent="0.25"/>
    <row r="10327" s="1" customFormat="1" ht="15" x14ac:dyDescent="0.25"/>
    <row r="10328" s="1" customFormat="1" ht="15" x14ac:dyDescent="0.25"/>
    <row r="10329" s="1" customFormat="1" ht="15" x14ac:dyDescent="0.25"/>
    <row r="10330" s="1" customFormat="1" ht="15" x14ac:dyDescent="0.25"/>
    <row r="10331" s="1" customFormat="1" ht="15" x14ac:dyDescent="0.25"/>
    <row r="10332" s="1" customFormat="1" ht="15" x14ac:dyDescent="0.25"/>
    <row r="10333" s="1" customFormat="1" ht="15" x14ac:dyDescent="0.25"/>
    <row r="10334" s="1" customFormat="1" ht="15" x14ac:dyDescent="0.25"/>
    <row r="10335" s="1" customFormat="1" ht="15" x14ac:dyDescent="0.25"/>
    <row r="10336" s="1" customFormat="1" ht="15" x14ac:dyDescent="0.25"/>
    <row r="10337" s="1" customFormat="1" ht="15" x14ac:dyDescent="0.25"/>
    <row r="10338" s="1" customFormat="1" ht="15" x14ac:dyDescent="0.25"/>
    <row r="10339" s="1" customFormat="1" ht="15" x14ac:dyDescent="0.25"/>
    <row r="10340" s="1" customFormat="1" ht="15" x14ac:dyDescent="0.25"/>
    <row r="10341" s="1" customFormat="1" ht="15" x14ac:dyDescent="0.25"/>
    <row r="10342" s="1" customFormat="1" ht="15" x14ac:dyDescent="0.25"/>
    <row r="10343" s="1" customFormat="1" ht="15" x14ac:dyDescent="0.25"/>
    <row r="10344" s="1" customFormat="1" ht="15" x14ac:dyDescent="0.25"/>
    <row r="10345" s="1" customFormat="1" ht="15" x14ac:dyDescent="0.25"/>
    <row r="10346" s="1" customFormat="1" ht="15" x14ac:dyDescent="0.25"/>
    <row r="10347" s="1" customFormat="1" ht="15" x14ac:dyDescent="0.25"/>
    <row r="10348" s="1" customFormat="1" ht="15" x14ac:dyDescent="0.25"/>
  </sheetData>
  <mergeCells count="1">
    <mergeCell ref="F2:G2"/>
  </mergeCells>
  <pageMargins left="0.511811024" right="0.511811024" top="0.78740157499999996" bottom="0.78740157499999996" header="0.31496062000000002" footer="0.31496062000000002"/>
  <drawing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tabColor theme="7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0" t="s">
        <v>42</v>
      </c>
      <c r="G2" s="40"/>
      <c r="H2" s="23" t="s">
        <v>43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TabelaDeRendimentos81315637983[[#This Row],[ESTIMADO]]+TabelaDeRendimentos8131563798387[[#This Row],[ESTIMADO]]</f>
        <v>209400</v>
      </c>
      <c r="D5" s="5">
        <f>TabelaDeRendimentos81315637983[[#This Row],[REAL]]+TabelaDeRendimentos8131563798387[[#This Row],[REAL]]</f>
        <v>0</v>
      </c>
      <c r="E5" s="5">
        <f>TabelaDeRendimentos81315636771[[#This Row],[REAL]]+(10^-6)*ROW(TabelaDeRendimentos81315636771[[#This Row],[REAL]])</f>
        <v>4.9999999999999996E-6</v>
      </c>
      <c r="F5" s="5">
        <f>TabelaDeRendimentos81315636771[[#This Row],[REAL]]-TabelaDeRendimentos81315636771[[#This Row],[ESTIMADO]]</f>
        <v>-209400</v>
      </c>
      <c r="G5" s="3"/>
      <c r="H5" s="4" t="s">
        <v>6</v>
      </c>
      <c r="I5" s="5">
        <f>TabelaDeRendimentos81315636771[[#Totals],[ESTIMADO]]</f>
        <v>945222</v>
      </c>
      <c r="J5" s="5">
        <f>TabelaDeRendimentos81315636771[[#Totals],[REAL]]</f>
        <v>0</v>
      </c>
      <c r="K5" s="5">
        <f>TabelaDeTotais91416646872[[#This Row],[REAL]]-TabelaDeTotais91416646872[[#This Row],[ESTIMADO]]</f>
        <v>-945222</v>
      </c>
      <c r="L5" s="3"/>
    </row>
    <row r="6" spans="1:524" ht="16.5" customHeight="1" x14ac:dyDescent="0.25">
      <c r="A6" s="3"/>
      <c r="B6" s="7" t="s">
        <v>19</v>
      </c>
      <c r="C6" s="5">
        <f>TabelaDeRendimentos81315637983[[#This Row],[ESTIMADO]]+TabelaDeRendimentos8131563798387[[#This Row],[ESTIMADO]]</f>
        <v>335520.00000000006</v>
      </c>
      <c r="D6" s="5">
        <f>TabelaDeRendimentos81315637983[[#This Row],[REAL]]+TabelaDeRendimentos8131563798387[[#This Row],[REAL]]</f>
        <v>0</v>
      </c>
      <c r="E6" s="5">
        <f>TabelaDeRendimentos81315636771[[#This Row],[REAL]]+(10^-6)*ROW(TabelaDeRendimentos81315636771[[#This Row],[REAL]])</f>
        <v>6.0000000000000002E-6</v>
      </c>
      <c r="F6" s="5">
        <f>TabelaDeRendimentos81315636771[[#This Row],[REAL]]-TabelaDeRendimentos81315636771[[#This Row],[ESTIMADO]]</f>
        <v>-335520.00000000006</v>
      </c>
      <c r="G6" s="3"/>
      <c r="H6" s="4" t="s">
        <v>7</v>
      </c>
      <c r="I6" s="5">
        <f>TabelaDeDespesasOperacionais71214626670[[#Totals],[ESTIMADO]]+TabelaDeDespesasDePessoal111618656973[[#Totals],[ESTIMADO]]</f>
        <v>275160</v>
      </c>
      <c r="J6" s="5">
        <f>TabelaDeDespesasOperacionais71214626670[[#Totals],[REAL]]+TabelaDeDespesasDePessoal111618656973[[#Totals],[REAL]]</f>
        <v>0</v>
      </c>
      <c r="K6" s="5">
        <f>TabelaDeTotais91416646872[[#This Row],[ESTIMADO]]-TabelaDeTotais91416646872[[#This Row],[REAL]]</f>
        <v>275160</v>
      </c>
      <c r="L6" s="3"/>
    </row>
    <row r="7" spans="1:524" ht="16.5" customHeight="1" x14ac:dyDescent="0.25">
      <c r="A7" s="3"/>
      <c r="B7" s="7" t="s">
        <v>20</v>
      </c>
      <c r="C7" s="5">
        <f>TabelaDeRendimentos81315637983[[#This Row],[ESTIMADO]]+TabelaDeRendimentos8131563798387[[#This Row],[ESTIMADO]]</f>
        <v>157050</v>
      </c>
      <c r="D7" s="5">
        <f>TabelaDeRendimentos81315637983[[#This Row],[REAL]]+TabelaDeRendimentos8131563798387[[#This Row],[REAL]]</f>
        <v>0</v>
      </c>
      <c r="E7" s="5">
        <f>TabelaDeRendimentos81315636771[[#This Row],[REAL]]+(10^-6)*ROW(TabelaDeRendimentos81315636771[[#This Row],[REAL]])</f>
        <v>6.9999999999999999E-6</v>
      </c>
      <c r="F7" s="5">
        <f>TabelaDeRendimentos81315636771[[#This Row],[REAL]]-TabelaDeRendimentos81315636771[[#This Row],[ESTIMADO]]</f>
        <v>-157050</v>
      </c>
      <c r="G7" s="3"/>
      <c r="H7" s="14" t="s">
        <v>8</v>
      </c>
      <c r="I7" s="15">
        <f>I5-I6</f>
        <v>670062</v>
      </c>
      <c r="J7" s="15">
        <f>J5-J6</f>
        <v>0</v>
      </c>
      <c r="K7" s="15">
        <f>TabelaDeTotais91416646872[[#Totals],[REAL]]-TabelaDeTotais91416646872[[#Totals],[ESTIMADO]]</f>
        <v>-670062</v>
      </c>
      <c r="L7" s="3"/>
    </row>
    <row r="8" spans="1:524" ht="16.5" customHeight="1" x14ac:dyDescent="0.25">
      <c r="A8" s="3"/>
      <c r="B8" s="7" t="s">
        <v>21</v>
      </c>
      <c r="C8" s="5">
        <f>TabelaDeRendimentos81315637983[[#This Row],[ESTIMADO]]+TabelaDeRendimentos8131563798387[[#This Row],[ESTIMADO]]</f>
        <v>243252</v>
      </c>
      <c r="D8" s="5">
        <f>TabelaDeRendimentos81315637983[[#This Row],[REAL]]+TabelaDeRendimentos8131563798387[[#This Row],[REAL]]</f>
        <v>0</v>
      </c>
      <c r="E8" s="5">
        <f>TabelaDeRendimentos81315636771[[#This Row],[REAL]]+(10^-6)*ROW(TabelaDeRendimentos81315636771[[#This Row],[REAL]])</f>
        <v>7.9999999999999996E-6</v>
      </c>
      <c r="F8" s="9">
        <f>TabelaDeRendimentos81315636771[[#This Row],[REAL]]-TabelaDeRendimentos81315636771[[#This Row],[ESTIMADO]]</f>
        <v>-243252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SUBTOTAL(9,TabelaDeRendimentos81315636771[ESTIMADO])</f>
        <v>945222</v>
      </c>
      <c r="D9" s="13">
        <f>SUBTOTAL(9,TabelaDeRendimentos81315636771[REAL])</f>
        <v>0</v>
      </c>
      <c r="E9" s="13">
        <f>SUBTOTAL(9,TabelaDeRendimentos81315636771[5 Maiores Quantias])</f>
        <v>2.6000000000000002E-5</v>
      </c>
      <c r="F9" s="13">
        <f>SUBTOTAL(9,TabelaDeRendimentos81315636771[DIFERENÇA])</f>
        <v>-945222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TabelaDeDespesasDePessoal111618658185[[#This Row],[ESTIMADO]]+TabelaDeDespesasDePessoal11161865818589[[#This Row],[ESTIMADO]]</f>
        <v>2880</v>
      </c>
      <c r="D12" s="5">
        <f>TabelaDeDespesasDePessoal111618658185[[#This Row],[REAL]]+TabelaDeDespesasDePessoal11161865818589[[#This Row],[REAL]]</f>
        <v>0</v>
      </c>
      <c r="E12" s="8">
        <f>TabelaDeDespesasDePessoal111618656973[[#This Row],[REAL]]+(10^-6)*ROW(TabelaDeDespesasDePessoal111618656973[[#This Row],[REAL]])</f>
        <v>1.2E-5</v>
      </c>
      <c r="F12" s="5">
        <f>TabelaDeDespesasDePessoal111618656973[[#This Row],[ESTIMADO]]-TabelaDeDespesasDePessoal111618656973[[#This Row],[REAL]]</f>
        <v>2880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TabelaDeDespesasDePessoal111618658185[[#This Row],[ESTIMADO]]+TabelaDeDespesasDePessoal11161865818589[[#This Row],[ESTIMADO]]</f>
        <v>1800</v>
      </c>
      <c r="D13" s="5">
        <f>TabelaDeDespesasDePessoal111618658185[[#This Row],[REAL]]+TabelaDeDespesasDePessoal11161865818589[[#This Row],[REAL]]</f>
        <v>0</v>
      </c>
      <c r="E13" s="8">
        <f>TabelaDeDespesasDePessoal111618656973[[#This Row],[REAL]]+(10^-6)*ROW(TabelaDeDespesasDePessoal111618656973[[#This Row],[REAL]])</f>
        <v>1.2999999999999999E-5</v>
      </c>
      <c r="F13" s="5">
        <f>TabelaDeDespesasDePessoal111618656973[[#This Row],[ESTIMADO]]-TabelaDeDespesasDePessoal111618656973[[#This Row],[REAL]]</f>
        <v>1800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TabelaDeDespesasDePessoal111618658185[[#This Row],[ESTIMADO]]+TabelaDeDespesasDePessoal11161865818589[[#This Row],[ESTIMADO]]</f>
        <v>75000</v>
      </c>
      <c r="D14" s="5">
        <f>TabelaDeDespesasDePessoal111618658185[[#This Row],[REAL]]+TabelaDeDespesasDePessoal11161865818589[[#This Row],[REAL]]</f>
        <v>0</v>
      </c>
      <c r="E14" s="8">
        <f>TabelaDeDespesasDePessoal111618656973[[#This Row],[REAL]]+(10^-6)*ROW(TabelaDeDespesasDePessoal111618656973[[#This Row],[REAL]])</f>
        <v>1.4E-5</v>
      </c>
      <c r="F14" s="5">
        <f>TabelaDeDespesasDePessoal111618656973[[#This Row],[ESTIMADO]]-TabelaDeDespesasDePessoal111618656973[[#This Row],[REAL]]</f>
        <v>75000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TabelaDeDespesasDePessoal111618658185[[#This Row],[ESTIMADO]]+TabelaDeDespesasDePessoal11161865818589[[#This Row],[ESTIMADO]]</f>
        <v>90000</v>
      </c>
      <c r="D15" s="5">
        <f>TabelaDeDespesasDePessoal111618658185[[#This Row],[REAL]]+TabelaDeDespesasDePessoal11161865818589[[#This Row],[REAL]]</f>
        <v>0</v>
      </c>
      <c r="E15" s="8">
        <f>TabelaDeDespesasDePessoal111618656973[[#This Row],[REAL]]+(10^-6)*ROW(TabelaDeDespesasDePessoal111618656973[[#This Row],[REAL]])</f>
        <v>1.4999999999999999E-5</v>
      </c>
      <c r="F15" s="5">
        <f>TabelaDeDespesasDePessoal111618656973[[#This Row],[ESTIMADO]]-TabelaDeDespesasDePessoal111618656973[[#This Row],[REAL]]</f>
        <v>90000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SUBTOTAL(9,TabelaDeDespesasDePessoal111618656973[ESTIMADO])</f>
        <v>169680</v>
      </c>
      <c r="D16" s="12">
        <f>SUBTOTAL(9,TabelaDeDespesasDePessoal111618656973[REAL])</f>
        <v>0</v>
      </c>
      <c r="E16" s="12">
        <f>SUBTOTAL(9,TabelaDeDespesasDePessoal111618656973[5 Maiores Quantias])</f>
        <v>5.3999999999999998E-5</v>
      </c>
      <c r="F16" s="12">
        <f>SUBTOTAL(9,TabelaDeDespesasDePessoal111618656973[DIFERENÇA])</f>
        <v>169680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TabelaDeDespesasOperacionais71214627882[[#This Row],[ESTIMADO]]+TabelaDeDespesasOperacionais7121462788286[[#This Row],[ESTIMADO]]</f>
        <v>180</v>
      </c>
      <c r="D19" s="8">
        <f>TabelaDeDespesasOperacionais71214627882[[#This Row],[REAL]]+TabelaDeDespesasOperacionais7121462788286[[#This Row],[REAL]]</f>
        <v>0</v>
      </c>
      <c r="E19" s="8">
        <f>TabelaDeDespesasOperacionais71214626670[[#This Row],[REAL]]+(10^-6)*ROW(TabelaDeDespesasOperacionais71214626670[[#This Row],[REAL]])</f>
        <v>1.8999999999999998E-5</v>
      </c>
      <c r="F19" s="8">
        <f>TabelaDeDespesasOperacionais71214626670[[#This Row],[ESTIMADO]]-TabelaDeDespesasOperacionais71214626670[[#This Row],[REAL]]</f>
        <v>180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TabelaDeDespesasOperacionais71214627882[[#This Row],[ESTIMADO]]+TabelaDeDespesasOperacionais7121462788286[[#This Row],[ESTIMADO]]</f>
        <v>2700</v>
      </c>
      <c r="D20" s="8">
        <f>TabelaDeDespesasOperacionais71214627882[[#This Row],[REAL]]+TabelaDeDespesasOperacionais7121462788286[[#This Row],[REAL]]</f>
        <v>0</v>
      </c>
      <c r="E20" s="8">
        <f>TabelaDeDespesasOperacionais71214626670[[#This Row],[REAL]]+(10^-6)*ROW(TabelaDeDespesasOperacionais71214626670[[#This Row],[REAL]])</f>
        <v>1.9999999999999998E-5</v>
      </c>
      <c r="F20" s="8">
        <f>TabelaDeDespesasOperacionais71214626670[[#This Row],[ESTIMADO]]-TabelaDeDespesasOperacionais71214626670[[#This Row],[REAL]]</f>
        <v>2700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TabelaDeDespesasOperacionais71214627882[[#This Row],[ESTIMADO]]+TabelaDeDespesasOperacionais7121462788286[[#This Row],[ESTIMADO]]</f>
        <v>7200</v>
      </c>
      <c r="D21" s="8">
        <f>TabelaDeDespesasOperacionais71214627882[[#This Row],[REAL]]+TabelaDeDespesasOperacionais7121462788286[[#This Row],[REAL]]</f>
        <v>0</v>
      </c>
      <c r="E21" s="8">
        <f>TabelaDeDespesasOperacionais71214626670[[#This Row],[REAL]]+(10^-6)*ROW(TabelaDeDespesasOperacionais71214626670[[#This Row],[REAL]])</f>
        <v>2.0999999999999999E-5</v>
      </c>
      <c r="F21" s="8">
        <f>TabelaDeDespesasOperacionais71214626670[[#This Row],[ESTIMADO]]-TabelaDeDespesasOperacionais71214626670[[#This Row],[REAL]]</f>
        <v>7200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TabelaDeDespesasOperacionais71214627882[[#This Row],[ESTIMADO]]+TabelaDeDespesasOperacionais7121462788286[[#This Row],[ESTIMADO]]</f>
        <v>15000</v>
      </c>
      <c r="D22" s="8">
        <f>TabelaDeDespesasOperacionais71214627882[[#This Row],[REAL]]+TabelaDeDespesasOperacionais7121462788286[[#This Row],[REAL]]</f>
        <v>0</v>
      </c>
      <c r="E22" s="8">
        <f>TabelaDeDespesasOperacionais71214626670[[#This Row],[REAL]]+(10^-6)*ROW(TabelaDeDespesasOperacionais71214626670[[#This Row],[REAL]])</f>
        <v>2.1999999999999999E-5</v>
      </c>
      <c r="F22" s="8">
        <f>TabelaDeDespesasOperacionais71214626670[[#This Row],[ESTIMADO]]-TabelaDeDespesasOperacionais71214626670[[#This Row],[REAL]]</f>
        <v>15000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TabelaDeDespesasOperacionais71214627882[[#This Row],[ESTIMADO]]+TabelaDeDespesasOperacionais7121462788286[[#This Row],[ESTIMADO]]</f>
        <v>36000</v>
      </c>
      <c r="D23" s="8">
        <f>TabelaDeDespesasOperacionais71214627882[[#This Row],[REAL]]+TabelaDeDespesasOperacionais7121462788286[[#This Row],[REAL]]</f>
        <v>0</v>
      </c>
      <c r="E23" s="8">
        <f>TabelaDeDespesasOperacionais71214626670[[#This Row],[REAL]]+(10^-6)*ROW(TabelaDeDespesasOperacionais71214626670[[#This Row],[REAL]])</f>
        <v>2.3E-5</v>
      </c>
      <c r="F23" s="8">
        <f>TabelaDeDespesasOperacionais71214626670[[#This Row],[ESTIMADO]]-TabelaDeDespesasOperacionais71214626670[[#This Row],[REAL]]</f>
        <v>36000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TabelaDeDespesasOperacionais71214627882[[#This Row],[ESTIMADO]]+TabelaDeDespesasOperacionais7121462788286[[#This Row],[ESTIMADO]]</f>
        <v>1500</v>
      </c>
      <c r="D24" s="8">
        <f>TabelaDeDespesasOperacionais71214627882[[#This Row],[REAL]]+TabelaDeDespesasOperacionais7121462788286[[#This Row],[REAL]]</f>
        <v>0</v>
      </c>
      <c r="E24" s="8">
        <f>TabelaDeDespesasOperacionais71214626670[[#This Row],[REAL]]+(10^-6)*ROW(TabelaDeDespesasOperacionais71214626670[[#This Row],[REAL]])</f>
        <v>2.4000000000000001E-5</v>
      </c>
      <c r="F24" s="8">
        <f>TabelaDeDespesasOperacionais71214626670[[#This Row],[ESTIMADO]]-TabelaDeDespesasOperacionais71214626670[[#This Row],[REAL]]</f>
        <v>1500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TabelaDeDespesasOperacionais71214627882[[#This Row],[ESTIMADO]]+TabelaDeDespesasOperacionais7121462788286[[#This Row],[ESTIMADO]]</f>
        <v>1800</v>
      </c>
      <c r="D25" s="8">
        <f>TabelaDeDespesasOperacionais71214627882[[#This Row],[REAL]]+TabelaDeDespesasOperacionais7121462788286[[#This Row],[REAL]]</f>
        <v>0</v>
      </c>
      <c r="E25" s="8">
        <f>TabelaDeDespesasOperacionais71214626670[[#This Row],[REAL]]+(10^-6)*ROW(TabelaDeDespesasOperacionais71214626670[[#This Row],[REAL]])</f>
        <v>2.4999999999999998E-5</v>
      </c>
      <c r="F25" s="8">
        <f>TabelaDeDespesasOperacionais71214626670[[#This Row],[ESTIMADO]]-TabelaDeDespesasOperacionais71214626670[[#This Row],[REAL]]</f>
        <v>1800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TabelaDeDespesasOperacionais71214627882[[#This Row],[ESTIMADO]]+TabelaDeDespesasOperacionais7121462788286[[#This Row],[ESTIMADO]]</f>
        <v>2700</v>
      </c>
      <c r="D26" s="8">
        <f>TabelaDeDespesasOperacionais71214627882[[#This Row],[REAL]]+TabelaDeDespesasOperacionais7121462788286[[#This Row],[REAL]]</f>
        <v>0</v>
      </c>
      <c r="E26" s="8">
        <f>TabelaDeDespesasOperacionais71214626670[[#This Row],[REAL]]+(10^-6)*ROW(TabelaDeDespesasOperacionais71214626670[[#This Row],[REAL]])</f>
        <v>2.5999999999999998E-5</v>
      </c>
      <c r="F26" s="8">
        <f>TabelaDeDespesasOperacionais71214626670[[#This Row],[ESTIMADO]]-TabelaDeDespesasOperacionais71214626670[[#This Row],[REAL]]</f>
        <v>2700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TabelaDeDespesasOperacionais71214627882[[#This Row],[ESTIMADO]]+TabelaDeDespesasOperacionais7121462788286[[#This Row],[ESTIMADO]]</f>
        <v>1500</v>
      </c>
      <c r="D27" s="8">
        <f>TabelaDeDespesasOperacionais71214627882[[#This Row],[REAL]]+TabelaDeDespesasOperacionais7121462788286[[#This Row],[REAL]]</f>
        <v>0</v>
      </c>
      <c r="E27" s="8">
        <f>TabelaDeDespesasOperacionais71214626670[[#This Row],[REAL]]+(10^-6)*ROW(TabelaDeDespesasOperacionais71214626670[[#This Row],[REAL]])</f>
        <v>2.6999999999999999E-5</v>
      </c>
      <c r="F27" s="8">
        <f>TabelaDeDespesasOperacionais71214626670[[#This Row],[ESTIMADO]]-TabelaDeDespesasOperacionais71214626670[[#This Row],[REAL]]</f>
        <v>1500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TabelaDeDespesasOperacionais71214627882[[#This Row],[ESTIMADO]]+TabelaDeDespesasOperacionais7121462788286[[#This Row],[ESTIMADO]]</f>
        <v>900</v>
      </c>
      <c r="D28" s="8">
        <f>TabelaDeDespesasOperacionais71214627882[[#This Row],[REAL]]+TabelaDeDespesasOperacionais7121462788286[[#This Row],[REAL]]</f>
        <v>0</v>
      </c>
      <c r="E28" s="8">
        <f>TabelaDeDespesasOperacionais71214626670[[#This Row],[REAL]]+(10^-6)*ROW(TabelaDeDespesasOperacionais71214626670[[#This Row],[REAL]])</f>
        <v>2.8E-5</v>
      </c>
      <c r="F28" s="8">
        <f>TabelaDeDespesasOperacionais71214626670[[#This Row],[ESTIMADO]]-TabelaDeDespesasOperacionais71214626670[[#This Row],[REAL]]</f>
        <v>900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TabelaDeDespesasOperacionais71214627882[[#This Row],[ESTIMADO]]+TabelaDeDespesasOperacionais7121462788286[[#This Row],[ESTIMADO]]</f>
        <v>27000</v>
      </c>
      <c r="D29" s="8">
        <f>TabelaDeDespesasOperacionais71214627882[[#This Row],[REAL]]+TabelaDeDespesasOperacionais7121462788286[[#This Row],[REAL]]</f>
        <v>0</v>
      </c>
      <c r="E29" s="8">
        <f>TabelaDeDespesasOperacionais71214626670[[#This Row],[REAL]]+(10^-6)*ROW(TabelaDeDespesasOperacionais71214626670[[#This Row],[REAL]])</f>
        <v>2.9E-5</v>
      </c>
      <c r="F29" s="8">
        <f>TabelaDeDespesasOperacionais71214626670[[#This Row],[ESTIMADO]]-TabelaDeDespesasOperacionais71214626670[[#This Row],[REAL]]</f>
        <v>27000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TabelaDeDespesasOperacionais71214627882[[#This Row],[ESTIMADO]]+TabelaDeDespesasOperacionais7121462788286[[#This Row],[ESTIMADO]]</f>
        <v>9000</v>
      </c>
      <c r="D30" s="8">
        <f>TabelaDeDespesasOperacionais71214627882[[#This Row],[REAL]]+TabelaDeDespesasOperacionais7121462788286[[#This Row],[REAL]]</f>
        <v>0</v>
      </c>
      <c r="E30" s="8">
        <f>TabelaDeDespesasOperacionais71214626670[[#This Row],[REAL]]+(10^-6)*ROW(TabelaDeDespesasOperacionais71214626670[[#This Row],[REAL]])</f>
        <v>2.9999999999999997E-5</v>
      </c>
      <c r="F30" s="8">
        <f>TabelaDeDespesasOperacionais71214626670[[#This Row],[ESTIMADO]]-TabelaDeDespesasOperacionais71214626670[[#This Row],[REAL]]</f>
        <v>9000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SUBTOTAL(9,TabelaDeDespesasOperacionais71214626670[ESTIMADO])</f>
        <v>105480</v>
      </c>
      <c r="D31" s="12">
        <f>SUBTOTAL(9,TabelaDeDespesasOperacionais71214626670[REAL])</f>
        <v>0</v>
      </c>
      <c r="E31" s="12">
        <f>SUBTOTAL(9,TabelaDeDespesasOperacionais71214626670[5 Maiores Quantias])</f>
        <v>2.9399999999999999E-4</v>
      </c>
      <c r="F31" s="12">
        <f>SUBTOTAL(9,TabelaDeDespesasOperacionais71214626670[DIFERENÇA])</f>
        <v>105480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tabColor theme="5" tint="-0.249977111117893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1" t="s">
        <v>44</v>
      </c>
      <c r="G2" s="41"/>
      <c r="H2" s="23" t="s">
        <v>61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f>TabelaDeRendimentos8131563798391[[#This Row],[ESTIMADO]]+TabelaDeRendimentos81315636771[[#This Row],[ESTIMADO]]</f>
        <v>418800</v>
      </c>
      <c r="D5" s="5">
        <f>TabelaDeRendimentos8131563798391[[#This Row],[REAL]]+TabelaDeRendimentos81315636771[[#This Row],[REAL]]</f>
        <v>99465</v>
      </c>
      <c r="E5" s="5">
        <f>TabelaDeRendimentos8131563677175[[#This Row],[REAL]]+(10^-6)*ROW(TabelaDeRendimentos8131563677175[[#This Row],[REAL]])</f>
        <v>99465.000004999994</v>
      </c>
      <c r="F5" s="5">
        <f>TabelaDeRendimentos8131563677175[[#This Row],[REAL]]-TabelaDeRendimentos8131563677175[[#This Row],[ESTIMADO]]</f>
        <v>-319335</v>
      </c>
      <c r="G5" s="3"/>
      <c r="H5" s="4" t="s">
        <v>6</v>
      </c>
      <c r="I5" s="5">
        <f>TabelaDeRendimentos8131563677175[[#Totals],[ESTIMADO]]</f>
        <v>1890444</v>
      </c>
      <c r="J5" s="5">
        <f>TabelaDeRendimentos8131563677175[[#Totals],[REAL]]</f>
        <v>471216.5</v>
      </c>
      <c r="K5" s="5">
        <f>TabelaDeTotais9141664687276[[#This Row],[REAL]]-TabelaDeTotais9141664687276[[#This Row],[ESTIMADO]]</f>
        <v>-1419227.5</v>
      </c>
      <c r="L5" s="3"/>
    </row>
    <row r="6" spans="1:524" ht="16.5" customHeight="1" x14ac:dyDescent="0.25">
      <c r="A6" s="3"/>
      <c r="B6" s="7" t="s">
        <v>19</v>
      </c>
      <c r="C6" s="5">
        <f>TabelaDeRendimentos8131563798391[[#This Row],[ESTIMADO]]+TabelaDeRendimentos81315636771[[#This Row],[ESTIMADO]]</f>
        <v>671040.00000000012</v>
      </c>
      <c r="D6" s="5">
        <f>TabelaDeRendimentos8131563798391[[#This Row],[REAL]]+TabelaDeRendimentos81315636771[[#This Row],[REAL]]</f>
        <v>169507.50000000003</v>
      </c>
      <c r="E6" s="5">
        <f>TabelaDeRendimentos8131563677175[[#This Row],[REAL]]+(10^-6)*ROW(TabelaDeRendimentos8131563677175[[#This Row],[REAL]])</f>
        <v>169507.50000600002</v>
      </c>
      <c r="F6" s="5">
        <f>TabelaDeRendimentos8131563677175[[#This Row],[REAL]]-TabelaDeRendimentos8131563677175[[#This Row],[ESTIMADO]]</f>
        <v>-501532.50000000012</v>
      </c>
      <c r="G6" s="3"/>
      <c r="H6" s="4" t="s">
        <v>7</v>
      </c>
      <c r="I6" s="5">
        <f>TabelaDeDespesasOperacionais7121462667074[[#Totals],[ESTIMADO]]+TabelaDeDespesasDePessoal11161865697377[[#Totals],[ESTIMADO]]</f>
        <v>550320</v>
      </c>
      <c r="J6" s="5">
        <f>TabelaDeDespesasOperacionais7121462667074[[#Totals],[REAL]]+TabelaDeDespesasDePessoal11161865697377[[#Totals],[REAL]]</f>
        <v>57400</v>
      </c>
      <c r="K6" s="5">
        <f>TabelaDeTotais9141664687276[[#This Row],[ESTIMADO]]-TabelaDeTotais9141664687276[[#This Row],[REAL]]</f>
        <v>492920</v>
      </c>
      <c r="L6" s="3"/>
    </row>
    <row r="7" spans="1:524" ht="16.5" customHeight="1" x14ac:dyDescent="0.25">
      <c r="A7" s="3"/>
      <c r="B7" s="7" t="s">
        <v>20</v>
      </c>
      <c r="C7" s="5">
        <f>TabelaDeRendimentos8131563798391[[#This Row],[ESTIMADO]]+TabelaDeRendimentos81315636771[[#This Row],[ESTIMADO]]</f>
        <v>314100</v>
      </c>
      <c r="D7" s="5">
        <f>TabelaDeRendimentos8131563798391[[#This Row],[REAL]]+TabelaDeRendimentos81315636771[[#This Row],[REAL]]</f>
        <v>81317</v>
      </c>
      <c r="E7" s="5">
        <f>TabelaDeRendimentos8131563677175[[#This Row],[REAL]]+(10^-6)*ROW(TabelaDeRendimentos8131563677175[[#This Row],[REAL]])</f>
        <v>81317.000006999995</v>
      </c>
      <c r="F7" s="5">
        <f>TabelaDeRendimentos8131563677175[[#This Row],[REAL]]-TabelaDeRendimentos8131563677175[[#This Row],[ESTIMADO]]</f>
        <v>-232783</v>
      </c>
      <c r="G7" s="3"/>
      <c r="H7" s="14" t="s">
        <v>8</v>
      </c>
      <c r="I7" s="15">
        <f>I5-I6</f>
        <v>1340124</v>
      </c>
      <c r="J7" s="15">
        <f>J5-J6</f>
        <v>413816.5</v>
      </c>
      <c r="K7" s="15">
        <f>TabelaDeTotais9141664687276[[#Totals],[REAL]]-TabelaDeTotais9141664687276[[#Totals],[ESTIMADO]]</f>
        <v>-926307.5</v>
      </c>
      <c r="L7" s="3"/>
    </row>
    <row r="8" spans="1:524" ht="16.5" customHeight="1" x14ac:dyDescent="0.25">
      <c r="A8" s="3"/>
      <c r="B8" s="7" t="s">
        <v>21</v>
      </c>
      <c r="C8" s="5">
        <f>TabelaDeRendimentos8131563798391[[#This Row],[ESTIMADO]]+TabelaDeRendimentos81315636771[[#This Row],[ESTIMADO]]</f>
        <v>486504</v>
      </c>
      <c r="D8" s="5">
        <f>TabelaDeRendimentos8131563798391[[#This Row],[REAL]]+TabelaDeRendimentos81315636771[[#This Row],[REAL]]</f>
        <v>120927</v>
      </c>
      <c r="E8" s="5">
        <f>TabelaDeRendimentos8131563677175[[#This Row],[REAL]]+(10^-6)*ROW(TabelaDeRendimentos8131563677175[[#This Row],[REAL]])</f>
        <v>120927.000008</v>
      </c>
      <c r="F8" s="9">
        <f>TabelaDeRendimentos8131563677175[[#This Row],[REAL]]-TabelaDeRendimentos8131563677175[[#This Row],[ESTIMADO]]</f>
        <v>-365577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SUBTOTAL(9,TabelaDeRendimentos8131563677175[ESTIMADO])</f>
        <v>1890444</v>
      </c>
      <c r="D9" s="13">
        <f>SUBTOTAL(9,TabelaDeRendimentos8131563677175[REAL])</f>
        <v>471216.5</v>
      </c>
      <c r="E9" s="13">
        <f>SUBTOTAL(9,TabelaDeRendimentos8131563677175[5 Maiores Quantias])</f>
        <v>471216.50002600002</v>
      </c>
      <c r="F9" s="13">
        <f>SUBTOTAL(9,TabelaDeRendimentos8131563677175[DIFERENÇA])</f>
        <v>-1419227.5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f>TabelaDeDespesasDePessoal11161865818593[[#This Row],[ESTIMADO]]+TabelaDeDespesasDePessoal111618656973[[#This Row],[ESTIMADO]]</f>
        <v>5760</v>
      </c>
      <c r="D12" s="5">
        <f>TabelaDeDespesasDePessoal11161865818593[[#This Row],[REAL]]+TabelaDeDespesasDePessoal111618656973[[#This Row],[REAL]]</f>
        <v>1000</v>
      </c>
      <c r="E12" s="8">
        <f>TabelaDeDespesasDePessoal11161865697377[[#This Row],[REAL]]+(10^-6)*ROW(TabelaDeDespesasDePessoal11161865697377[[#This Row],[REAL]])</f>
        <v>1000.000012</v>
      </c>
      <c r="F12" s="5">
        <f>TabelaDeDespesasDePessoal11161865697377[[#This Row],[ESTIMADO]]-TabelaDeDespesasDePessoal11161865697377[[#This Row],[REAL]]</f>
        <v>4760</v>
      </c>
      <c r="G12" s="3"/>
      <c r="L12" s="3"/>
    </row>
    <row r="13" spans="1:524" ht="16.5" customHeight="1" x14ac:dyDescent="0.25">
      <c r="A13" s="3"/>
      <c r="B13" s="7" t="s">
        <v>31</v>
      </c>
      <c r="C13" s="5">
        <f>TabelaDeDespesasDePessoal11161865818593[[#This Row],[ESTIMADO]]+TabelaDeDespesasDePessoal111618656973[[#This Row],[ESTIMADO]]</f>
        <v>3600</v>
      </c>
      <c r="D13" s="5">
        <f>TabelaDeDespesasDePessoal11161865818593[[#This Row],[REAL]]+TabelaDeDespesasDePessoal111618656973[[#This Row],[REAL]]</f>
        <v>700</v>
      </c>
      <c r="E13" s="8">
        <f>TabelaDeDespesasDePessoal11161865697377[[#This Row],[REAL]]+(10^-6)*ROW(TabelaDeDespesasDePessoal11161865697377[[#This Row],[REAL]])</f>
        <v>700.00001299999997</v>
      </c>
      <c r="F13" s="5">
        <f>TabelaDeDespesasDePessoal11161865697377[[#This Row],[ESTIMADO]]-TabelaDeDespesasDePessoal11161865697377[[#This Row],[REAL]]</f>
        <v>2900</v>
      </c>
      <c r="G13" s="3"/>
      <c r="L13" s="3"/>
    </row>
    <row r="14" spans="1:524" ht="16.5" customHeight="1" x14ac:dyDescent="0.25">
      <c r="A14" s="3"/>
      <c r="B14" s="7" t="s">
        <v>26</v>
      </c>
      <c r="C14" s="5">
        <f>TabelaDeDespesasDePessoal11161865818593[[#This Row],[ESTIMADO]]+TabelaDeDespesasDePessoal111618656973[[#This Row],[ESTIMADO]]</f>
        <v>150000</v>
      </c>
      <c r="D14" s="5">
        <f>TabelaDeDespesasDePessoal11161865818593[[#This Row],[REAL]]+TabelaDeDespesasDePessoal111618656973[[#This Row],[REAL]]</f>
        <v>26000</v>
      </c>
      <c r="E14" s="8">
        <f>TabelaDeDespesasDePessoal11161865697377[[#This Row],[REAL]]+(10^-6)*ROW(TabelaDeDespesasDePessoal11161865697377[[#This Row],[REAL]])</f>
        <v>26000.000014000001</v>
      </c>
      <c r="F14" s="5">
        <f>TabelaDeDespesasDePessoal11161865697377[[#This Row],[ESTIMADO]]-TabelaDeDespesasDePessoal11161865697377[[#This Row],[REAL]]</f>
        <v>124000</v>
      </c>
      <c r="G14" s="3"/>
      <c r="L14" s="3"/>
    </row>
    <row r="15" spans="1:524" ht="16.5" customHeight="1" x14ac:dyDescent="0.25">
      <c r="A15" s="3"/>
      <c r="B15" s="7" t="s">
        <v>27</v>
      </c>
      <c r="C15" s="5">
        <f>TabelaDeDespesasDePessoal11161865818593[[#This Row],[ESTIMADO]]+TabelaDeDespesasDePessoal111618656973[[#This Row],[ESTIMADO]]</f>
        <v>180000</v>
      </c>
      <c r="D15" s="5">
        <f>TabelaDeDespesasDePessoal11161865818593[[#This Row],[REAL]]+TabelaDeDespesasDePessoal111618656973[[#This Row],[REAL]]</f>
        <v>29700</v>
      </c>
      <c r="E15" s="8">
        <f>TabelaDeDespesasDePessoal11161865697377[[#This Row],[REAL]]+(10^-6)*ROW(TabelaDeDespesasDePessoal11161865697377[[#This Row],[REAL]])</f>
        <v>29700.000015000001</v>
      </c>
      <c r="F15" s="5">
        <f>TabelaDeDespesasDePessoal11161865697377[[#This Row],[ESTIMADO]]-TabelaDeDespesasDePessoal11161865697377[[#This Row],[REAL]]</f>
        <v>150300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SUBTOTAL(9,TabelaDeDespesasDePessoal11161865697377[ESTIMADO])</f>
        <v>339360</v>
      </c>
      <c r="D16" s="12">
        <f>SUBTOTAL(9,TabelaDeDespesasDePessoal11161865697377[REAL])</f>
        <v>57400</v>
      </c>
      <c r="E16" s="12">
        <f>SUBTOTAL(9,TabelaDeDespesasDePessoal11161865697377[5 Maiores Quantias])</f>
        <v>57400.000054000004</v>
      </c>
      <c r="F16" s="12">
        <f>SUBTOTAL(9,TabelaDeDespesasDePessoal11161865697377[DIFERENÇA])</f>
        <v>281960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f>TabelaDeDespesasOperacionais7121462788290[[#This Row],[ESTIMADO]]+TabelaDeDespesasOperacionais71214626670[[#This Row],[ESTIMADO]]</f>
        <v>360</v>
      </c>
      <c r="D19" s="8">
        <f>TabelaDeDespesasOperacionais71214627882[[#This Row],[REAL]]+TabelaDeDespesasOperacionais7121462788286[[#This Row],[REAL]]</f>
        <v>0</v>
      </c>
      <c r="E19" s="8">
        <f>TabelaDeDespesasOperacionais7121462667074[[#This Row],[REAL]]+(10^-6)*ROW(TabelaDeDespesasOperacionais7121462667074[[#This Row],[REAL]])</f>
        <v>1.8999999999999998E-5</v>
      </c>
      <c r="F19" s="8">
        <f>TabelaDeDespesasOperacionais7121462667074[[#This Row],[ESTIMADO]]-TabelaDeDespesasOperacionais7121462667074[[#This Row],[REAL]]</f>
        <v>360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f>TabelaDeDespesasOperacionais7121462788290[[#This Row],[ESTIMADO]]+TabelaDeDespesasOperacionais71214626670[[#This Row],[ESTIMADO]]</f>
        <v>5400</v>
      </c>
      <c r="D20" s="8">
        <f>TabelaDeDespesasOperacionais71214627882[[#This Row],[REAL]]+TabelaDeDespesasOperacionais7121462788286[[#This Row],[REAL]]</f>
        <v>0</v>
      </c>
      <c r="E20" s="8">
        <f>TabelaDeDespesasOperacionais7121462667074[[#This Row],[REAL]]+(10^-6)*ROW(TabelaDeDespesasOperacionais7121462667074[[#This Row],[REAL]])</f>
        <v>1.9999999999999998E-5</v>
      </c>
      <c r="F20" s="8">
        <f>TabelaDeDespesasOperacionais7121462667074[[#This Row],[ESTIMADO]]-TabelaDeDespesasOperacionais7121462667074[[#This Row],[REAL]]</f>
        <v>5400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f>TabelaDeDespesasOperacionais7121462788290[[#This Row],[ESTIMADO]]+TabelaDeDespesasOperacionais71214626670[[#This Row],[ESTIMADO]]</f>
        <v>14400</v>
      </c>
      <c r="D21" s="8">
        <f>TabelaDeDespesasOperacionais71214627882[[#This Row],[REAL]]+TabelaDeDespesasOperacionais7121462788286[[#This Row],[REAL]]</f>
        <v>0</v>
      </c>
      <c r="E21" s="8">
        <f>TabelaDeDespesasOperacionais7121462667074[[#This Row],[REAL]]+(10^-6)*ROW(TabelaDeDespesasOperacionais7121462667074[[#This Row],[REAL]])</f>
        <v>2.0999999999999999E-5</v>
      </c>
      <c r="F21" s="8">
        <f>TabelaDeDespesasOperacionais7121462667074[[#This Row],[ESTIMADO]]-TabelaDeDespesasOperacionais7121462667074[[#This Row],[REAL]]</f>
        <v>14400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f>TabelaDeDespesasOperacionais7121462788290[[#This Row],[ESTIMADO]]+TabelaDeDespesasOperacionais71214626670[[#This Row],[ESTIMADO]]</f>
        <v>30000</v>
      </c>
      <c r="D22" s="8">
        <f>TabelaDeDespesasOperacionais71214627882[[#This Row],[REAL]]+TabelaDeDespesasOperacionais7121462788286[[#This Row],[REAL]]</f>
        <v>0</v>
      </c>
      <c r="E22" s="8">
        <f>TabelaDeDespesasOperacionais7121462667074[[#This Row],[REAL]]+(10^-6)*ROW(TabelaDeDespesasOperacionais7121462667074[[#This Row],[REAL]])</f>
        <v>2.1999999999999999E-5</v>
      </c>
      <c r="F22" s="8">
        <f>TabelaDeDespesasOperacionais7121462667074[[#This Row],[ESTIMADO]]-TabelaDeDespesasOperacionais7121462667074[[#This Row],[REAL]]</f>
        <v>30000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f>TabelaDeDespesasOperacionais7121462788290[[#This Row],[ESTIMADO]]+TabelaDeDespesasOperacionais71214626670[[#This Row],[ESTIMADO]]</f>
        <v>72000</v>
      </c>
      <c r="D23" s="8">
        <f>TabelaDeDespesasOperacionais71214627882[[#This Row],[REAL]]+TabelaDeDespesasOperacionais7121462788286[[#This Row],[REAL]]</f>
        <v>0</v>
      </c>
      <c r="E23" s="8">
        <f>TabelaDeDespesasOperacionais7121462667074[[#This Row],[REAL]]+(10^-6)*ROW(TabelaDeDespesasOperacionais7121462667074[[#This Row],[REAL]])</f>
        <v>2.3E-5</v>
      </c>
      <c r="F23" s="8">
        <f>TabelaDeDespesasOperacionais7121462667074[[#This Row],[ESTIMADO]]-TabelaDeDespesasOperacionais7121462667074[[#This Row],[REAL]]</f>
        <v>72000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f>TabelaDeDespesasOperacionais7121462788290[[#This Row],[ESTIMADO]]+TabelaDeDespesasOperacionais71214626670[[#This Row],[ESTIMADO]]</f>
        <v>3000</v>
      </c>
      <c r="D24" s="8">
        <f>TabelaDeDespesasOperacionais71214627882[[#This Row],[REAL]]+TabelaDeDespesasOperacionais7121462788286[[#This Row],[REAL]]</f>
        <v>0</v>
      </c>
      <c r="E24" s="8">
        <f>TabelaDeDespesasOperacionais7121462667074[[#This Row],[REAL]]+(10^-6)*ROW(TabelaDeDespesasOperacionais7121462667074[[#This Row],[REAL]])</f>
        <v>2.4000000000000001E-5</v>
      </c>
      <c r="F24" s="8">
        <f>TabelaDeDespesasOperacionais7121462667074[[#This Row],[ESTIMADO]]-TabelaDeDespesasOperacionais7121462667074[[#This Row],[REAL]]</f>
        <v>3000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f>TabelaDeDespesasOperacionais7121462788290[[#This Row],[ESTIMADO]]+TabelaDeDespesasOperacionais71214626670[[#This Row],[ESTIMADO]]</f>
        <v>3600</v>
      </c>
      <c r="D25" s="8">
        <f>TabelaDeDespesasOperacionais71214627882[[#This Row],[REAL]]+TabelaDeDespesasOperacionais7121462788286[[#This Row],[REAL]]</f>
        <v>0</v>
      </c>
      <c r="E25" s="8">
        <f>TabelaDeDespesasOperacionais7121462667074[[#This Row],[REAL]]+(10^-6)*ROW(TabelaDeDespesasOperacionais7121462667074[[#This Row],[REAL]])</f>
        <v>2.4999999999999998E-5</v>
      </c>
      <c r="F25" s="8">
        <f>TabelaDeDespesasOperacionais7121462667074[[#This Row],[ESTIMADO]]-TabelaDeDespesasOperacionais7121462667074[[#This Row],[REAL]]</f>
        <v>3600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f>TabelaDeDespesasOperacionais7121462788290[[#This Row],[ESTIMADO]]+TabelaDeDespesasOperacionais71214626670[[#This Row],[ESTIMADO]]</f>
        <v>5400</v>
      </c>
      <c r="D26" s="8">
        <f>TabelaDeDespesasOperacionais71214627882[[#This Row],[REAL]]+TabelaDeDespesasOperacionais7121462788286[[#This Row],[REAL]]</f>
        <v>0</v>
      </c>
      <c r="E26" s="8">
        <f>TabelaDeDespesasOperacionais7121462667074[[#This Row],[REAL]]+(10^-6)*ROW(TabelaDeDespesasOperacionais7121462667074[[#This Row],[REAL]])</f>
        <v>2.5999999999999998E-5</v>
      </c>
      <c r="F26" s="8">
        <f>TabelaDeDespesasOperacionais7121462667074[[#This Row],[ESTIMADO]]-TabelaDeDespesasOperacionais7121462667074[[#This Row],[REAL]]</f>
        <v>5400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f>TabelaDeDespesasOperacionais7121462788290[[#This Row],[ESTIMADO]]+TabelaDeDespesasOperacionais71214626670[[#This Row],[ESTIMADO]]</f>
        <v>3000</v>
      </c>
      <c r="D27" s="8">
        <f>TabelaDeDespesasOperacionais71214627882[[#This Row],[REAL]]+TabelaDeDespesasOperacionais7121462788286[[#This Row],[REAL]]</f>
        <v>0</v>
      </c>
      <c r="E27" s="8">
        <f>TabelaDeDespesasOperacionais7121462667074[[#This Row],[REAL]]+(10^-6)*ROW(TabelaDeDespesasOperacionais7121462667074[[#This Row],[REAL]])</f>
        <v>2.6999999999999999E-5</v>
      </c>
      <c r="F27" s="8">
        <f>TabelaDeDespesasOperacionais7121462667074[[#This Row],[ESTIMADO]]-TabelaDeDespesasOperacionais7121462667074[[#This Row],[REAL]]</f>
        <v>3000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f>TabelaDeDespesasOperacionais7121462788290[[#This Row],[ESTIMADO]]+TabelaDeDespesasOperacionais71214626670[[#This Row],[ESTIMADO]]</f>
        <v>1800</v>
      </c>
      <c r="D28" s="8">
        <f>TabelaDeDespesasOperacionais71214627882[[#This Row],[REAL]]+TabelaDeDespesasOperacionais7121462788286[[#This Row],[REAL]]</f>
        <v>0</v>
      </c>
      <c r="E28" s="8">
        <f>TabelaDeDespesasOperacionais7121462667074[[#This Row],[REAL]]+(10^-6)*ROW(TabelaDeDespesasOperacionais7121462667074[[#This Row],[REAL]])</f>
        <v>2.8E-5</v>
      </c>
      <c r="F28" s="8">
        <f>TabelaDeDespesasOperacionais7121462667074[[#This Row],[ESTIMADO]]-TabelaDeDespesasOperacionais7121462667074[[#This Row],[REAL]]</f>
        <v>1800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f>TabelaDeDespesasOperacionais7121462788290[[#This Row],[ESTIMADO]]+TabelaDeDespesasOperacionais71214626670[[#This Row],[ESTIMADO]]</f>
        <v>54000</v>
      </c>
      <c r="D29" s="8">
        <f>TabelaDeDespesasOperacionais71214627882[[#This Row],[REAL]]+TabelaDeDespesasOperacionais7121462788286[[#This Row],[REAL]]</f>
        <v>0</v>
      </c>
      <c r="E29" s="8">
        <f>TabelaDeDespesasOperacionais7121462667074[[#This Row],[REAL]]+(10^-6)*ROW(TabelaDeDespesasOperacionais7121462667074[[#This Row],[REAL]])</f>
        <v>2.9E-5</v>
      </c>
      <c r="F29" s="8">
        <f>TabelaDeDespesasOperacionais7121462667074[[#This Row],[ESTIMADO]]-TabelaDeDespesasOperacionais7121462667074[[#This Row],[REAL]]</f>
        <v>54000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f>TabelaDeDespesasOperacionais7121462788290[[#This Row],[ESTIMADO]]+TabelaDeDespesasOperacionais71214626670[[#This Row],[ESTIMADO]]</f>
        <v>18000</v>
      </c>
      <c r="D30" s="8">
        <f>TabelaDeDespesasOperacionais71214627882[[#This Row],[REAL]]+TabelaDeDespesasOperacionais7121462788286[[#This Row],[REAL]]</f>
        <v>0</v>
      </c>
      <c r="E30" s="8">
        <f>TabelaDeDespesasOperacionais7121462667074[[#This Row],[REAL]]+(10^-6)*ROW(TabelaDeDespesasOperacionais7121462667074[[#This Row],[REAL]])</f>
        <v>2.9999999999999997E-5</v>
      </c>
      <c r="F30" s="8">
        <f>TabelaDeDespesasOperacionais7121462667074[[#This Row],[ESTIMADO]]-TabelaDeDespesasOperacionais7121462667074[[#This Row],[REAL]]</f>
        <v>18000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SUBTOTAL(9,TabelaDeDespesasOperacionais7121462667074[ESTIMADO])</f>
        <v>210960</v>
      </c>
      <c r="D31" s="12">
        <f>SUBTOTAL(9,TabelaDeDespesasOperacionais7121462667074[REAL])</f>
        <v>0</v>
      </c>
      <c r="E31" s="12">
        <f>SUBTOTAL(9,TabelaDeDespesasOperacionais7121462667074[5 Maiores Quantias])</f>
        <v>2.9399999999999999E-4</v>
      </c>
      <c r="F31" s="12">
        <f>SUBTOTAL(9,TabelaDeDespesasOperacionais7121462667074[DIFERENÇA])</f>
        <v>210960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9">
    <tabColor theme="4"/>
    <pageSetUpPr autoPageBreaks="0" fitToPage="1"/>
  </sheetPr>
  <dimension ref="A1:TD10348"/>
  <sheetViews>
    <sheetView showGridLines="0" zoomScale="76" zoomScaleNormal="76" workbookViewId="0"/>
  </sheetViews>
  <sheetFormatPr defaultRowHeight="15.95" customHeight="1" x14ac:dyDescent="0.25"/>
  <cols>
    <col min="1" max="1" width="4.28515625" style="6" customWidth="1"/>
    <col min="2" max="2" width="44.5703125" style="6" customWidth="1"/>
    <col min="3" max="3" width="19.7109375" style="6" customWidth="1"/>
    <col min="4" max="4" width="19.5703125" style="6" customWidth="1"/>
    <col min="5" max="5" width="0.28515625" style="6" hidden="1" customWidth="1"/>
    <col min="6" max="6" width="19.7109375" style="6" customWidth="1"/>
    <col min="7" max="7" width="6.85546875" style="6" customWidth="1"/>
    <col min="8" max="8" width="43.28515625" style="3" customWidth="1"/>
    <col min="9" max="11" width="21.7109375" style="3" customWidth="1"/>
    <col min="12" max="12" width="14" customWidth="1"/>
    <col min="13" max="14" width="13.85546875" customWidth="1"/>
    <col min="354" max="524" width="9.140625" style="1"/>
  </cols>
  <sheetData>
    <row r="1" spans="1:524" ht="3.75" customHeight="1" x14ac:dyDescent="0.25">
      <c r="A1" s="3"/>
      <c r="B1" s="3"/>
      <c r="C1" s="3"/>
      <c r="D1" s="3"/>
      <c r="E1" s="3"/>
      <c r="F1" s="3"/>
      <c r="G1" s="3"/>
      <c r="L1" s="3"/>
    </row>
    <row r="2" spans="1:524" s="1" customFormat="1" ht="21.75" customHeight="1" x14ac:dyDescent="0.4">
      <c r="A2" s="17"/>
      <c r="B2" s="22" t="s">
        <v>34</v>
      </c>
      <c r="C2" s="18"/>
      <c r="D2" s="19"/>
      <c r="E2" s="20"/>
      <c r="F2" s="42">
        <v>41640</v>
      </c>
      <c r="G2" s="42"/>
      <c r="H2" s="23" t="s">
        <v>0</v>
      </c>
      <c r="I2" s="17"/>
      <c r="J2" s="17"/>
      <c r="K2" s="17"/>
      <c r="L2" s="3"/>
    </row>
    <row r="3" spans="1:524" s="1" customFormat="1" ht="7.5" customHeight="1" x14ac:dyDescent="0.25">
      <c r="A3" s="21"/>
      <c r="B3" s="21"/>
      <c r="C3" s="20"/>
      <c r="D3" s="3"/>
      <c r="E3" s="20"/>
      <c r="F3" s="3"/>
      <c r="G3" s="3"/>
      <c r="H3" s="3"/>
      <c r="I3" s="21"/>
      <c r="J3" s="21"/>
      <c r="K3" s="21"/>
      <c r="L3" s="3"/>
    </row>
    <row r="4" spans="1:524" s="2" customFormat="1" ht="21.75" customHeight="1" x14ac:dyDescent="0.25">
      <c r="A4" s="3"/>
      <c r="B4" s="24" t="s">
        <v>36</v>
      </c>
      <c r="C4" s="25" t="s">
        <v>2</v>
      </c>
      <c r="D4" s="25" t="s">
        <v>3</v>
      </c>
      <c r="E4" s="25" t="s">
        <v>5</v>
      </c>
      <c r="F4" s="25" t="s">
        <v>4</v>
      </c>
      <c r="G4" s="3"/>
      <c r="H4" s="24" t="s">
        <v>1</v>
      </c>
      <c r="I4" s="25" t="s">
        <v>2</v>
      </c>
      <c r="J4" s="25" t="s">
        <v>3</v>
      </c>
      <c r="K4" s="25" t="s">
        <v>4</v>
      </c>
      <c r="L4" s="3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</row>
    <row r="5" spans="1:524" ht="16.5" customHeight="1" x14ac:dyDescent="0.25">
      <c r="A5" s="3"/>
      <c r="B5" s="7" t="s">
        <v>18</v>
      </c>
      <c r="C5" s="5">
        <v>34900</v>
      </c>
      <c r="D5" s="5">
        <v>36645</v>
      </c>
      <c r="E5" s="5">
        <f>TabelaDeRendimentos81315[[#This Row],[REAL]]+(10^-6)*ROW(TabelaDeRendimentos81315[[#This Row],[REAL]])</f>
        <v>36645.000005000002</v>
      </c>
      <c r="F5" s="5">
        <f>TabelaDeRendimentos81315[[#This Row],[REAL]]-TabelaDeRendimentos81315[[#This Row],[ESTIMADO]]</f>
        <v>1745</v>
      </c>
      <c r="G5" s="3"/>
      <c r="H5" s="4" t="s">
        <v>6</v>
      </c>
      <c r="I5" s="5">
        <f>TabelaDeRendimentos81315[[#Totals],[ESTIMADO]]</f>
        <v>157537</v>
      </c>
      <c r="J5" s="5">
        <f>TabelaDeRendimentos81315[[#Totals],[REAL]]</f>
        <v>159277</v>
      </c>
      <c r="K5" s="5">
        <f>TabelaDeTotais91416[[#This Row],[REAL]]-TabelaDeTotais91416[[#This Row],[ESTIMADO]]</f>
        <v>1740</v>
      </c>
      <c r="L5" s="3"/>
    </row>
    <row r="6" spans="1:524" ht="16.5" customHeight="1" x14ac:dyDescent="0.25">
      <c r="A6" s="3"/>
      <c r="B6" s="7" t="s">
        <v>19</v>
      </c>
      <c r="C6" s="5">
        <v>55920.000000000007</v>
      </c>
      <c r="D6" s="5">
        <v>54522.000000000007</v>
      </c>
      <c r="E6" s="5">
        <f>TabelaDeRendimentos81315[[#This Row],[REAL]]+(10^-6)*ROW(TabelaDeRendimentos81315[[#This Row],[REAL]])</f>
        <v>54522.000006000009</v>
      </c>
      <c r="F6" s="5">
        <f>TabelaDeRendimentos81315[[#This Row],[REAL]]-TabelaDeRendimentos81315[[#This Row],[ESTIMADO]]</f>
        <v>-1398</v>
      </c>
      <c r="G6" s="3"/>
      <c r="H6" s="4" t="s">
        <v>7</v>
      </c>
      <c r="I6" s="5">
        <f>TabelaDeDespesasOperacionais71214[[#Totals],[ESTIMADO]]+TabelaDeDespesasDePessoal111618[[#Totals],[ESTIMADO]]</f>
        <v>45860</v>
      </c>
      <c r="J6" s="5">
        <f>TabelaDeDespesasOperacionais71214[[#Totals],[REAL]]+TabelaDeDespesasDePessoal111618[[#Totals],[REAL]]</f>
        <v>31445</v>
      </c>
      <c r="K6" s="5">
        <f>TabelaDeTotais91416[[#This Row],[ESTIMADO]]-TabelaDeTotais91416[[#This Row],[REAL]]</f>
        <v>14415</v>
      </c>
      <c r="L6" s="3"/>
    </row>
    <row r="7" spans="1:524" ht="16.5" customHeight="1" x14ac:dyDescent="0.25">
      <c r="A7" s="3"/>
      <c r="B7" s="7" t="s">
        <v>20</v>
      </c>
      <c r="C7" s="5">
        <v>26175</v>
      </c>
      <c r="D7" s="5">
        <v>29665</v>
      </c>
      <c r="E7" s="5">
        <f>TabelaDeRendimentos81315[[#This Row],[REAL]]+(10^-6)*ROW(TabelaDeRendimentos81315[[#This Row],[REAL]])</f>
        <v>29665.000006999999</v>
      </c>
      <c r="F7" s="5">
        <f>TabelaDeRendimentos81315[[#This Row],[REAL]]-TabelaDeRendimentos81315[[#This Row],[ESTIMADO]]</f>
        <v>3490</v>
      </c>
      <c r="G7" s="3"/>
      <c r="H7" s="14" t="s">
        <v>8</v>
      </c>
      <c r="I7" s="15">
        <f>I5-I6</f>
        <v>111677</v>
      </c>
      <c r="J7" s="15">
        <f>J5-J6</f>
        <v>127832</v>
      </c>
      <c r="K7" s="15">
        <f>TabelaDeTotais91416[[#Totals],[REAL]]-TabelaDeTotais91416[[#Totals],[ESTIMADO]]</f>
        <v>16155</v>
      </c>
      <c r="L7" s="3"/>
    </row>
    <row r="8" spans="1:524" ht="16.5" customHeight="1" x14ac:dyDescent="0.25">
      <c r="A8" s="3"/>
      <c r="B8" s="7" t="s">
        <v>21</v>
      </c>
      <c r="C8" s="5">
        <v>40542</v>
      </c>
      <c r="D8" s="9">
        <v>38445</v>
      </c>
      <c r="E8" s="5">
        <f>TabelaDeRendimentos81315[[#This Row],[REAL]]+(10^-6)*ROW(TabelaDeRendimentos81315[[#This Row],[REAL]])</f>
        <v>38445.000008000003</v>
      </c>
      <c r="F8" s="9">
        <f>TabelaDeRendimentos81315[[#This Row],[REAL]]-TabelaDeRendimentos81315[[#This Row],[ESTIMADO]]</f>
        <v>-2097</v>
      </c>
      <c r="G8" s="3"/>
      <c r="L8" s="3"/>
    </row>
    <row r="9" spans="1:524" ht="16.5" customHeight="1" x14ac:dyDescent="0.25">
      <c r="A9" s="3"/>
      <c r="B9" s="11" t="s">
        <v>35</v>
      </c>
      <c r="C9" s="13">
        <f>SUBTOTAL(9,TabelaDeRendimentos81315[ESTIMADO])</f>
        <v>157537</v>
      </c>
      <c r="D9" s="13">
        <f>SUBTOTAL(9,TabelaDeRendimentos81315[REAL])</f>
        <v>159277</v>
      </c>
      <c r="E9" s="13">
        <f>SUBTOTAL(9,TabelaDeRendimentos81315[5 Maiores Quantias])</f>
        <v>159277.00002600002</v>
      </c>
      <c r="F9" s="13">
        <f>SUBTOTAL(9,TabelaDeRendimentos81315[DIFERENÇA])</f>
        <v>1740</v>
      </c>
      <c r="G9" s="3"/>
      <c r="L9" s="3"/>
    </row>
    <row r="10" spans="1:524" ht="9.75" customHeight="1" x14ac:dyDescent="0.25">
      <c r="A10" s="3"/>
      <c r="B10" s="3"/>
      <c r="C10" s="3"/>
      <c r="D10" s="3"/>
      <c r="E10" s="3"/>
      <c r="F10" s="3"/>
      <c r="G10" s="3"/>
      <c r="L10" s="3"/>
    </row>
    <row r="11" spans="1:524" ht="21.75" customHeight="1" x14ac:dyDescent="0.25">
      <c r="A11" s="3"/>
      <c r="B11" s="24" t="s">
        <v>9</v>
      </c>
      <c r="C11" s="24" t="s">
        <v>2</v>
      </c>
      <c r="D11" s="24" t="s">
        <v>3</v>
      </c>
      <c r="E11" s="24" t="s">
        <v>5</v>
      </c>
      <c r="F11" s="24" t="s">
        <v>4</v>
      </c>
      <c r="G11" s="3"/>
      <c r="L11" s="3"/>
    </row>
    <row r="12" spans="1:524" ht="16.5" customHeight="1" x14ac:dyDescent="0.25">
      <c r="A12" s="3"/>
      <c r="B12" s="7" t="s">
        <v>30</v>
      </c>
      <c r="C12" s="5">
        <v>480</v>
      </c>
      <c r="D12" s="5">
        <v>320</v>
      </c>
      <c r="E12" s="8">
        <f>TabelaDeDespesasDePessoal111618[[#This Row],[REAL]]+(10^-6)*ROW(TabelaDeDespesasDePessoal111618[[#This Row],[REAL]])</f>
        <v>320.00001200000003</v>
      </c>
      <c r="F12" s="5">
        <f>TabelaDeDespesasDePessoal111618[[#This Row],[ESTIMADO]]-TabelaDeDespesasDePessoal111618[[#This Row],[REAL]]</f>
        <v>160</v>
      </c>
      <c r="G12" s="3"/>
      <c r="L12" s="3"/>
    </row>
    <row r="13" spans="1:524" ht="16.5" customHeight="1" x14ac:dyDescent="0.25">
      <c r="A13" s="3"/>
      <c r="B13" s="7" t="s">
        <v>31</v>
      </c>
      <c r="C13" s="5">
        <v>300</v>
      </c>
      <c r="D13" s="5">
        <v>200</v>
      </c>
      <c r="E13" s="8">
        <f>TabelaDeDespesasDePessoal111618[[#This Row],[REAL]]+(10^-6)*ROW(TabelaDeDespesasDePessoal111618[[#This Row],[REAL]])</f>
        <v>200.000013</v>
      </c>
      <c r="F13" s="5">
        <f>TabelaDeDespesasDePessoal111618[[#This Row],[ESTIMADO]]-TabelaDeDespesasDePessoal111618[[#This Row],[REAL]]</f>
        <v>100</v>
      </c>
      <c r="G13" s="3"/>
      <c r="L13" s="3"/>
    </row>
    <row r="14" spans="1:524" ht="16.5" customHeight="1" x14ac:dyDescent="0.25">
      <c r="A14" s="3"/>
      <c r="B14" s="7" t="s">
        <v>26</v>
      </c>
      <c r="C14" s="5">
        <v>12500</v>
      </c>
      <c r="D14" s="5">
        <v>6250</v>
      </c>
      <c r="E14" s="8">
        <f>TabelaDeDespesasDePessoal111618[[#This Row],[REAL]]+(10^-6)*ROW(TabelaDeDespesasDePessoal111618[[#This Row],[REAL]])</f>
        <v>6250.0000140000002</v>
      </c>
      <c r="F14" s="5">
        <f>TabelaDeDespesasDePessoal111618[[#This Row],[ESTIMADO]]-TabelaDeDespesasDePessoal111618[[#This Row],[REAL]]</f>
        <v>6250</v>
      </c>
      <c r="G14" s="3"/>
      <c r="L14" s="3"/>
    </row>
    <row r="15" spans="1:524" ht="16.5" customHeight="1" x14ac:dyDescent="0.25">
      <c r="A15" s="3"/>
      <c r="B15" s="7" t="s">
        <v>27</v>
      </c>
      <c r="C15" s="5">
        <v>15000</v>
      </c>
      <c r="D15" s="5">
        <v>7500</v>
      </c>
      <c r="E15" s="8">
        <f>TabelaDeDespesasDePessoal111618[[#This Row],[REAL]]+(10^-6)*ROW(TabelaDeDespesasDePessoal111618[[#This Row],[REAL]])</f>
        <v>7500.0000149999996</v>
      </c>
      <c r="F15" s="5">
        <f>TabelaDeDespesasDePessoal111618[[#This Row],[ESTIMADO]]-TabelaDeDespesasDePessoal111618[[#This Row],[REAL]]</f>
        <v>7500</v>
      </c>
      <c r="G15" s="3"/>
      <c r="L15" s="3"/>
    </row>
    <row r="16" spans="1:524" ht="16.5" customHeight="1" x14ac:dyDescent="0.25">
      <c r="A16" s="3"/>
      <c r="B16" s="11" t="s">
        <v>10</v>
      </c>
      <c r="C16" s="12">
        <f>SUBTOTAL(9,TabelaDeDespesasDePessoal111618[ESTIMADO])</f>
        <v>28280</v>
      </c>
      <c r="D16" s="12">
        <f>SUBTOTAL(9,TabelaDeDespesasDePessoal111618[REAL])</f>
        <v>14270</v>
      </c>
      <c r="E16" s="12">
        <f>SUBTOTAL(9,TabelaDeDespesasDePessoal111618[5 Maiores Quantias])</f>
        <v>14270.000054</v>
      </c>
      <c r="F16" s="12">
        <f>SUBTOTAL(9,TabelaDeDespesasDePessoal111618[DIFERENÇA])</f>
        <v>14010</v>
      </c>
      <c r="G16" s="3"/>
      <c r="L16" s="3"/>
    </row>
    <row r="17" spans="1:524" ht="9.75" customHeight="1" x14ac:dyDescent="0.25">
      <c r="A17" s="3"/>
      <c r="B17" s="3"/>
      <c r="C17" s="3"/>
      <c r="D17" s="3"/>
      <c r="E17" s="3"/>
      <c r="F17" s="3"/>
      <c r="G17" s="3"/>
      <c r="L17" s="3"/>
    </row>
    <row r="18" spans="1:524" s="6" customFormat="1" ht="21.75" customHeight="1" x14ac:dyDescent="0.25">
      <c r="A18" s="3"/>
      <c r="B18" s="24" t="s">
        <v>11</v>
      </c>
      <c r="C18" s="24" t="s">
        <v>2</v>
      </c>
      <c r="D18" s="24" t="s">
        <v>3</v>
      </c>
      <c r="E18" s="24" t="s">
        <v>5</v>
      </c>
      <c r="F18" s="24" t="s">
        <v>4</v>
      </c>
      <c r="G18" s="3"/>
      <c r="H18" s="3"/>
      <c r="I18" s="3"/>
      <c r="J18" s="3"/>
      <c r="K18" s="3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</row>
    <row r="19" spans="1:524" s="6" customFormat="1" ht="16.5" customHeight="1" x14ac:dyDescent="0.25">
      <c r="A19" s="3"/>
      <c r="B19" s="10" t="s">
        <v>22</v>
      </c>
      <c r="C19" s="8">
        <v>30</v>
      </c>
      <c r="D19" s="8">
        <v>30</v>
      </c>
      <c r="E19" s="8">
        <f>TabelaDeDespesasOperacionais71214[[#This Row],[REAL]]+(10^-6)*ROW(TabelaDeDespesasOperacionais71214[[#This Row],[REAL]])</f>
        <v>30.000019000000002</v>
      </c>
      <c r="F19" s="8">
        <f>TabelaDeDespesasOperacionais71214[[#This Row],[ESTIMADO]]-TabelaDeDespesasOperacionais71214[[#This Row],[REAL]]</f>
        <v>0</v>
      </c>
      <c r="G19" s="3"/>
      <c r="H19" s="3"/>
      <c r="I19" s="3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</row>
    <row r="20" spans="1:524" s="6" customFormat="1" ht="16.5" customHeight="1" x14ac:dyDescent="0.25">
      <c r="A20" s="3"/>
      <c r="B20" s="10" t="s">
        <v>23</v>
      </c>
      <c r="C20" s="8">
        <v>450</v>
      </c>
      <c r="D20" s="8">
        <v>450</v>
      </c>
      <c r="E20" s="8">
        <f>TabelaDeDespesasOperacionais71214[[#This Row],[REAL]]+(10^-6)*ROW(TabelaDeDespesasOperacionais71214[[#This Row],[REAL]])</f>
        <v>450.00002000000001</v>
      </c>
      <c r="F20" s="8">
        <f>TabelaDeDespesasOperacionais71214[[#This Row],[ESTIMADO]]-TabelaDeDespesasOperacionais71214[[#This Row],[REAL]]</f>
        <v>0</v>
      </c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</row>
    <row r="21" spans="1:524" s="6" customFormat="1" ht="16.5" customHeight="1" x14ac:dyDescent="0.25">
      <c r="A21" s="3"/>
      <c r="B21" s="10" t="s">
        <v>24</v>
      </c>
      <c r="C21" s="8">
        <v>1200</v>
      </c>
      <c r="D21" s="8">
        <v>1200</v>
      </c>
      <c r="E21" s="8">
        <f>TabelaDeDespesasOperacionais71214[[#This Row],[REAL]]+(10^-6)*ROW(TabelaDeDespesasOperacionais71214[[#This Row],[REAL]])</f>
        <v>1200.0000210000001</v>
      </c>
      <c r="F21" s="8">
        <f>TabelaDeDespesasOperacionais71214[[#This Row],[ESTIMADO]]-TabelaDeDespesasOperacionais71214[[#This Row],[REAL]]</f>
        <v>0</v>
      </c>
      <c r="G21" s="3"/>
      <c r="H21" s="3"/>
      <c r="I21" s="3"/>
      <c r="J21" s="3"/>
      <c r="K21" s="3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</row>
    <row r="22" spans="1:524" s="6" customFormat="1" ht="16.5" customHeight="1" x14ac:dyDescent="0.25">
      <c r="A22" s="3"/>
      <c r="B22" s="10" t="s">
        <v>25</v>
      </c>
      <c r="C22" s="8">
        <v>2500</v>
      </c>
      <c r="D22" s="8">
        <v>1200</v>
      </c>
      <c r="E22" s="8">
        <f>TabelaDeDespesasOperacionais71214[[#This Row],[REAL]]+(10^-6)*ROW(TabelaDeDespesasOperacionais71214[[#This Row],[REAL]])</f>
        <v>1200.0000219999999</v>
      </c>
      <c r="F22" s="8">
        <f>TabelaDeDespesasOperacionais71214[[#This Row],[ESTIMADO]]-TabelaDeDespesasOperacionais71214[[#This Row],[REAL]]</f>
        <v>1300</v>
      </c>
      <c r="G22" s="3"/>
      <c r="H22" s="3"/>
      <c r="I22" s="3"/>
      <c r="J22" s="3"/>
      <c r="K22" s="3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</row>
    <row r="23" spans="1:524" s="6" customFormat="1" ht="16.5" customHeight="1" x14ac:dyDescent="0.25">
      <c r="A23" s="3"/>
      <c r="B23" s="10" t="s">
        <v>28</v>
      </c>
      <c r="C23" s="8">
        <v>6000</v>
      </c>
      <c r="D23" s="8">
        <v>6250</v>
      </c>
      <c r="E23" s="8">
        <f>TabelaDeDespesasOperacionais71214[[#This Row],[REAL]]+(10^-6)*ROW(TabelaDeDespesasOperacionais71214[[#This Row],[REAL]])</f>
        <v>6250.0000229999996</v>
      </c>
      <c r="F23" s="8">
        <f>TabelaDeDespesasOperacionais71214[[#This Row],[ESTIMADO]]-TabelaDeDespesasOperacionais71214[[#This Row],[REAL]]</f>
        <v>-250</v>
      </c>
      <c r="G23" s="3"/>
      <c r="H23" s="3"/>
      <c r="I23" s="3"/>
      <c r="J23" s="3"/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</row>
    <row r="24" spans="1:524" s="6" customFormat="1" ht="16.5" customHeight="1" x14ac:dyDescent="0.25">
      <c r="A24" s="3"/>
      <c r="B24" s="10" t="s">
        <v>29</v>
      </c>
      <c r="C24" s="8">
        <v>250</v>
      </c>
      <c r="D24" s="8">
        <v>250</v>
      </c>
      <c r="E24" s="8">
        <f>TabelaDeDespesasOperacionais71214[[#This Row],[REAL]]+(10^-6)*ROW(TabelaDeDespesasOperacionais71214[[#This Row],[REAL]])</f>
        <v>250.000024</v>
      </c>
      <c r="F24" s="8">
        <f>TabelaDeDespesasOperacionais71214[[#This Row],[ESTIMADO]]-TabelaDeDespesasOperacionais71214[[#This Row],[REAL]]</f>
        <v>0</v>
      </c>
      <c r="G24" s="3"/>
      <c r="H24" s="3"/>
      <c r="I24" s="3"/>
      <c r="J24" s="3"/>
      <c r="K24" s="3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</row>
    <row r="25" spans="1:524" s="6" customFormat="1" ht="16.5" customHeight="1" x14ac:dyDescent="0.25">
      <c r="A25" s="3"/>
      <c r="B25" s="10" t="s">
        <v>12</v>
      </c>
      <c r="C25" s="8">
        <v>300</v>
      </c>
      <c r="D25" s="8">
        <v>350</v>
      </c>
      <c r="E25" s="8">
        <f>TabelaDeDespesasOperacionais71214[[#This Row],[REAL]]+(10^-6)*ROW(TabelaDeDespesasOperacionais71214[[#This Row],[REAL]])</f>
        <v>350.00002499999999</v>
      </c>
      <c r="F25" s="8">
        <f>TabelaDeDespesasOperacionais71214[[#This Row],[ESTIMADO]]-TabelaDeDespesasOperacionais71214[[#This Row],[REAL]]</f>
        <v>-50</v>
      </c>
      <c r="G25" s="3"/>
      <c r="H25" s="3"/>
      <c r="I25" s="3"/>
      <c r="J25" s="3"/>
      <c r="K25" s="3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</row>
    <row r="26" spans="1:524" s="6" customFormat="1" ht="16.5" customHeight="1" x14ac:dyDescent="0.25">
      <c r="A26" s="3"/>
      <c r="B26" s="10" t="s">
        <v>32</v>
      </c>
      <c r="C26" s="8">
        <v>450</v>
      </c>
      <c r="D26" s="8">
        <v>420</v>
      </c>
      <c r="E26" s="8">
        <f>TabelaDeDespesasOperacionais71214[[#This Row],[REAL]]+(10^-6)*ROW(TabelaDeDespesasOperacionais71214[[#This Row],[REAL]])</f>
        <v>420.00002599999999</v>
      </c>
      <c r="F26" s="8">
        <f>TabelaDeDespesasOperacionais71214[[#This Row],[ESTIMADO]]-TabelaDeDespesasOperacionais71214[[#This Row],[REAL]]</f>
        <v>30</v>
      </c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</row>
    <row r="27" spans="1:524" s="6" customFormat="1" ht="16.5" customHeight="1" x14ac:dyDescent="0.25">
      <c r="A27" s="3"/>
      <c r="B27" s="10" t="s">
        <v>33</v>
      </c>
      <c r="C27" s="8">
        <v>250</v>
      </c>
      <c r="D27" s="8">
        <v>125</v>
      </c>
      <c r="E27" s="8">
        <f>TabelaDeDespesasOperacionais71214[[#This Row],[REAL]]+(10^-6)*ROW(TabelaDeDespesasOperacionais71214[[#This Row],[REAL]])</f>
        <v>125.000027</v>
      </c>
      <c r="F27" s="8">
        <f>TabelaDeDespesasOperacionais71214[[#This Row],[ESTIMADO]]-TabelaDeDespesasOperacionais71214[[#This Row],[REAL]]</f>
        <v>125</v>
      </c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</row>
    <row r="28" spans="1:524" s="6" customFormat="1" ht="16.5" customHeight="1" x14ac:dyDescent="0.25">
      <c r="A28" s="3"/>
      <c r="B28" s="10" t="s">
        <v>13</v>
      </c>
      <c r="C28" s="8">
        <v>150</v>
      </c>
      <c r="D28" s="8">
        <v>150</v>
      </c>
      <c r="E28" s="8">
        <f>TabelaDeDespesasOperacionais71214[[#This Row],[REAL]]+(10^-6)*ROW(TabelaDeDespesasOperacionais71214[[#This Row],[REAL]])</f>
        <v>150.00002799999999</v>
      </c>
      <c r="F28" s="8">
        <f>TabelaDeDespesasOperacionais71214[[#This Row],[ESTIMADO]]-TabelaDeDespesasOperacionais71214[[#This Row],[REAL]]</f>
        <v>0</v>
      </c>
      <c r="G28" s="3"/>
      <c r="H28" s="3"/>
      <c r="I28" s="3"/>
      <c r="J28" s="3"/>
      <c r="K28" s="3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</row>
    <row r="29" spans="1:524" s="6" customFormat="1" ht="16.5" customHeight="1" x14ac:dyDescent="0.25">
      <c r="A29" s="3"/>
      <c r="B29" s="10" t="s">
        <v>14</v>
      </c>
      <c r="C29" s="8">
        <v>4500</v>
      </c>
      <c r="D29" s="8">
        <v>5000</v>
      </c>
      <c r="E29" s="8">
        <f>TabelaDeDespesasOperacionais71214[[#This Row],[REAL]]+(10^-6)*ROW(TabelaDeDespesasOperacionais71214[[#This Row],[REAL]])</f>
        <v>5000.0000289999998</v>
      </c>
      <c r="F29" s="8">
        <f>TabelaDeDespesasOperacionais71214[[#This Row],[ESTIMADO]]-TabelaDeDespesasOperacionais71214[[#This Row],[REAL]]</f>
        <v>-500</v>
      </c>
      <c r="G29" s="3"/>
      <c r="H29" s="3"/>
      <c r="I29" s="3"/>
      <c r="J29" s="3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</row>
    <row r="30" spans="1:524" s="6" customFormat="1" ht="16.5" customHeight="1" x14ac:dyDescent="0.25">
      <c r="A30" s="3"/>
      <c r="B30" s="10" t="s">
        <v>15</v>
      </c>
      <c r="C30" s="8">
        <v>1500</v>
      </c>
      <c r="D30" s="8">
        <v>1750</v>
      </c>
      <c r="E30" s="8">
        <f>TabelaDeDespesasOperacionais71214[[#This Row],[REAL]]+(10^-6)*ROW(TabelaDeDespesasOperacionais71214[[#This Row],[REAL]])</f>
        <v>1750.0000299999999</v>
      </c>
      <c r="F30" s="8">
        <f>TabelaDeDespesasOperacionais71214[[#This Row],[ESTIMADO]]-TabelaDeDespesasOperacionais71214[[#This Row],[REAL]]</f>
        <v>-250</v>
      </c>
      <c r="G30" s="3"/>
      <c r="H30" s="3"/>
      <c r="I30" s="3"/>
      <c r="J30" s="3"/>
      <c r="K30" s="3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</row>
    <row r="31" spans="1:524" s="6" customFormat="1" ht="15.95" customHeight="1" x14ac:dyDescent="0.25">
      <c r="A31" s="3"/>
      <c r="B31" s="11" t="s">
        <v>16</v>
      </c>
      <c r="C31" s="12">
        <f>SUBTOTAL(9,TabelaDeDespesasOperacionais71214[ESTIMADO])</f>
        <v>17580</v>
      </c>
      <c r="D31" s="12">
        <f>SUBTOTAL(9,TabelaDeDespesasOperacionais71214[REAL])</f>
        <v>17175</v>
      </c>
      <c r="E31" s="12">
        <f>SUBTOTAL(9,TabelaDeDespesasOperacionais71214[5 Maiores Quantias])</f>
        <v>17175.000293999998</v>
      </c>
      <c r="F31" s="12">
        <f>SUBTOTAL(9,TabelaDeDespesasOperacionais71214[DIFERENÇA])</f>
        <v>405</v>
      </c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</row>
    <row r="32" spans="1:524" ht="15.95" customHeight="1" x14ac:dyDescent="0.25">
      <c r="A32" s="3"/>
      <c r="B32" s="3" t="s">
        <v>17</v>
      </c>
      <c r="C32" s="3"/>
      <c r="D32" s="3"/>
      <c r="E32" s="3"/>
      <c r="F32" s="3"/>
      <c r="G32" s="3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="1" customFormat="1" ht="15.95" customHeight="1" x14ac:dyDescent="0.25"/>
    <row r="34" s="1" customFormat="1" ht="15.95" customHeight="1" x14ac:dyDescent="0.25"/>
    <row r="35" s="1" customFormat="1" ht="15.95" customHeight="1" x14ac:dyDescent="0.25"/>
    <row r="36" s="1" customFormat="1" ht="15.95" customHeight="1" x14ac:dyDescent="0.25"/>
    <row r="37" s="1" customFormat="1" ht="15.95" customHeight="1" x14ac:dyDescent="0.25"/>
    <row r="38" s="1" customFormat="1" ht="15.95" customHeight="1" x14ac:dyDescent="0.25"/>
    <row r="39" s="1" customFormat="1" ht="15.95" customHeight="1" x14ac:dyDescent="0.25"/>
    <row r="40" s="1" customFormat="1" ht="15.95" customHeight="1" x14ac:dyDescent="0.25"/>
    <row r="41" s="1" customFormat="1" ht="15.95" customHeight="1" x14ac:dyDescent="0.25"/>
    <row r="42" s="1" customFormat="1" ht="15.95" customHeight="1" x14ac:dyDescent="0.25"/>
    <row r="43" s="1" customFormat="1" ht="15.95" customHeight="1" x14ac:dyDescent="0.25"/>
    <row r="44" s="1" customFormat="1" ht="15.95" customHeight="1" x14ac:dyDescent="0.25"/>
    <row r="45" s="1" customFormat="1" ht="15.95" customHeight="1" x14ac:dyDescent="0.25"/>
    <row r="46" s="1" customFormat="1" ht="15.95" customHeight="1" x14ac:dyDescent="0.25"/>
    <row r="47" s="1" customFormat="1" ht="15.95" customHeight="1" x14ac:dyDescent="0.25"/>
    <row r="48" s="1" customFormat="1" ht="15.95" customHeight="1" x14ac:dyDescent="0.25"/>
    <row r="49" s="1" customFormat="1" ht="15.95" customHeight="1" x14ac:dyDescent="0.25"/>
    <row r="50" s="1" customFormat="1" ht="15.95" customHeight="1" x14ac:dyDescent="0.25"/>
    <row r="51" s="1" customFormat="1" ht="15.95" customHeight="1" x14ac:dyDescent="0.25"/>
    <row r="52" s="1" customFormat="1" ht="15.95" customHeight="1" x14ac:dyDescent="0.25"/>
    <row r="53" s="1" customFormat="1" ht="15.95" customHeight="1" x14ac:dyDescent="0.25"/>
    <row r="54" s="1" customFormat="1" ht="15.95" customHeight="1" x14ac:dyDescent="0.25"/>
    <row r="55" s="1" customFormat="1" ht="15.95" customHeight="1" x14ac:dyDescent="0.25"/>
    <row r="56" s="1" customFormat="1" ht="15.95" customHeight="1" x14ac:dyDescent="0.25"/>
    <row r="57" s="1" customFormat="1" ht="15.95" customHeight="1" x14ac:dyDescent="0.25"/>
    <row r="58" s="1" customFormat="1" ht="15.95" customHeight="1" x14ac:dyDescent="0.25"/>
    <row r="59" s="1" customFormat="1" ht="15.95" customHeight="1" x14ac:dyDescent="0.25"/>
    <row r="60" s="1" customFormat="1" ht="15.95" customHeight="1" x14ac:dyDescent="0.25"/>
    <row r="61" s="1" customFormat="1" ht="15.95" customHeight="1" x14ac:dyDescent="0.25"/>
    <row r="62" s="1" customFormat="1" ht="15.95" customHeight="1" x14ac:dyDescent="0.25"/>
    <row r="63" s="1" customFormat="1" ht="15.95" customHeight="1" x14ac:dyDescent="0.25"/>
    <row r="64" s="1" customFormat="1" ht="15.95" customHeight="1" x14ac:dyDescent="0.25"/>
    <row r="65" s="1" customFormat="1" ht="15.95" customHeight="1" x14ac:dyDescent="0.25"/>
    <row r="66" s="1" customFormat="1" ht="15.95" customHeight="1" x14ac:dyDescent="0.25"/>
    <row r="67" s="1" customFormat="1" ht="15.95" customHeight="1" x14ac:dyDescent="0.25"/>
    <row r="68" s="1" customFormat="1" ht="15.95" customHeight="1" x14ac:dyDescent="0.25"/>
    <row r="69" s="1" customFormat="1" ht="15.95" customHeight="1" x14ac:dyDescent="0.25"/>
    <row r="70" s="1" customFormat="1" ht="15.95" customHeight="1" x14ac:dyDescent="0.25"/>
    <row r="71" s="1" customFormat="1" ht="15.95" customHeight="1" x14ac:dyDescent="0.25"/>
    <row r="72" s="1" customFormat="1" ht="15.95" customHeight="1" x14ac:dyDescent="0.25"/>
    <row r="73" s="1" customFormat="1" ht="15.95" customHeight="1" x14ac:dyDescent="0.25"/>
    <row r="74" s="1" customFormat="1" ht="15.95" customHeight="1" x14ac:dyDescent="0.25"/>
    <row r="75" s="1" customFormat="1" ht="15.95" customHeight="1" x14ac:dyDescent="0.25"/>
    <row r="76" s="1" customFormat="1" ht="15.95" customHeight="1" x14ac:dyDescent="0.25"/>
    <row r="77" s="1" customFormat="1" ht="15.95" customHeight="1" x14ac:dyDescent="0.25"/>
    <row r="78" s="1" customFormat="1" ht="15.95" customHeight="1" x14ac:dyDescent="0.25"/>
    <row r="79" s="1" customFormat="1" ht="15.95" customHeight="1" x14ac:dyDescent="0.25"/>
    <row r="80" s="1" customFormat="1" ht="15.95" customHeight="1" x14ac:dyDescent="0.25"/>
    <row r="81" s="1" customFormat="1" ht="15.95" customHeight="1" x14ac:dyDescent="0.25"/>
    <row r="82" s="1" customFormat="1" ht="15.95" customHeight="1" x14ac:dyDescent="0.25"/>
    <row r="83" s="1" customFormat="1" ht="15.95" customHeight="1" x14ac:dyDescent="0.25"/>
    <row r="84" s="1" customFormat="1" ht="15.95" customHeight="1" x14ac:dyDescent="0.25"/>
    <row r="85" s="1" customFormat="1" ht="15.95" customHeight="1" x14ac:dyDescent="0.25"/>
    <row r="86" s="1" customFormat="1" ht="15.95" customHeight="1" x14ac:dyDescent="0.25"/>
    <row r="87" s="1" customFormat="1" ht="15.95" customHeight="1" x14ac:dyDescent="0.25"/>
    <row r="88" s="1" customFormat="1" ht="15.95" customHeight="1" x14ac:dyDescent="0.25"/>
    <row r="89" s="1" customFormat="1" ht="15.95" customHeight="1" x14ac:dyDescent="0.25"/>
    <row r="90" s="1" customFormat="1" ht="15.95" customHeight="1" x14ac:dyDescent="0.25"/>
    <row r="91" s="1" customFormat="1" ht="15.95" customHeight="1" x14ac:dyDescent="0.25"/>
    <row r="92" s="1" customFormat="1" ht="15.95" customHeight="1" x14ac:dyDescent="0.25"/>
    <row r="93" s="1" customFormat="1" ht="15.95" customHeight="1" x14ac:dyDescent="0.25"/>
    <row r="94" s="1" customFormat="1" ht="15.95" customHeight="1" x14ac:dyDescent="0.25"/>
    <row r="95" s="1" customFormat="1" ht="15.95" customHeight="1" x14ac:dyDescent="0.25"/>
    <row r="96" s="1" customFormat="1" ht="15.95" customHeight="1" x14ac:dyDescent="0.25"/>
    <row r="97" s="1" customFormat="1" ht="15.95" customHeight="1" x14ac:dyDescent="0.25"/>
    <row r="98" s="1" customFormat="1" ht="15.95" customHeight="1" x14ac:dyDescent="0.25"/>
    <row r="99" s="1" customFormat="1" ht="15.95" customHeight="1" x14ac:dyDescent="0.25"/>
    <row r="100" s="1" customFormat="1" ht="15.95" customHeight="1" x14ac:dyDescent="0.25"/>
    <row r="101" s="1" customFormat="1" ht="15.95" customHeight="1" x14ac:dyDescent="0.25"/>
    <row r="102" s="1" customFormat="1" ht="15.95" customHeight="1" x14ac:dyDescent="0.25"/>
    <row r="103" s="1" customFormat="1" ht="15.95" customHeight="1" x14ac:dyDescent="0.25"/>
    <row r="104" s="1" customFormat="1" ht="15.95" customHeight="1" x14ac:dyDescent="0.25"/>
    <row r="105" s="1" customFormat="1" ht="15.95" customHeight="1" x14ac:dyDescent="0.25"/>
    <row r="106" s="1" customFormat="1" ht="15.95" customHeight="1" x14ac:dyDescent="0.25"/>
    <row r="107" s="1" customFormat="1" ht="15.95" customHeight="1" x14ac:dyDescent="0.25"/>
    <row r="108" s="1" customFormat="1" ht="15.95" customHeight="1" x14ac:dyDescent="0.25"/>
    <row r="109" s="1" customFormat="1" ht="15.95" customHeight="1" x14ac:dyDescent="0.25"/>
    <row r="110" s="1" customFormat="1" ht="15.95" customHeight="1" x14ac:dyDescent="0.25"/>
    <row r="111" s="1" customFormat="1" ht="15.95" customHeight="1" x14ac:dyDescent="0.25"/>
    <row r="112" s="1" customFormat="1" ht="15.95" customHeight="1" x14ac:dyDescent="0.25"/>
    <row r="113" s="1" customFormat="1" ht="15.95" customHeight="1" x14ac:dyDescent="0.25"/>
    <row r="114" s="1" customFormat="1" ht="15.95" customHeight="1" x14ac:dyDescent="0.25"/>
    <row r="115" s="1" customFormat="1" ht="15.95" customHeight="1" x14ac:dyDescent="0.25"/>
    <row r="116" s="1" customFormat="1" ht="15.95" customHeight="1" x14ac:dyDescent="0.25"/>
    <row r="117" s="1" customFormat="1" ht="15.95" customHeight="1" x14ac:dyDescent="0.25"/>
    <row r="118" s="1" customFormat="1" ht="15.95" customHeight="1" x14ac:dyDescent="0.25"/>
    <row r="119" s="1" customFormat="1" ht="15.95" customHeight="1" x14ac:dyDescent="0.25"/>
    <row r="120" s="1" customFormat="1" ht="15.95" customHeight="1" x14ac:dyDescent="0.25"/>
    <row r="121" s="1" customFormat="1" ht="15.95" customHeight="1" x14ac:dyDescent="0.25"/>
    <row r="122" s="1" customFormat="1" ht="15.95" customHeight="1" x14ac:dyDescent="0.25"/>
    <row r="123" s="1" customFormat="1" ht="15.95" customHeight="1" x14ac:dyDescent="0.25"/>
    <row r="124" s="1" customFormat="1" ht="15.95" customHeight="1" x14ac:dyDescent="0.25"/>
    <row r="125" s="1" customFormat="1" ht="15.95" customHeight="1" x14ac:dyDescent="0.25"/>
    <row r="126" s="1" customFormat="1" ht="15.95" customHeight="1" x14ac:dyDescent="0.25"/>
    <row r="127" s="1" customFormat="1" ht="15.95" customHeight="1" x14ac:dyDescent="0.25"/>
    <row r="128" s="1" customFormat="1" ht="15.95" customHeight="1" x14ac:dyDescent="0.25"/>
    <row r="129" s="1" customFormat="1" ht="15.95" customHeight="1" x14ac:dyDescent="0.25"/>
    <row r="130" s="1" customFormat="1" ht="15.95" customHeight="1" x14ac:dyDescent="0.25"/>
    <row r="131" s="1" customFormat="1" ht="15.95" customHeight="1" x14ac:dyDescent="0.25"/>
    <row r="132" s="1" customFormat="1" ht="15.95" customHeight="1" x14ac:dyDescent="0.25"/>
    <row r="133" s="1" customFormat="1" ht="15.95" customHeight="1" x14ac:dyDescent="0.25"/>
    <row r="134" s="1" customFormat="1" ht="15.95" customHeight="1" x14ac:dyDescent="0.25"/>
    <row r="135" s="1" customFormat="1" ht="15.95" customHeight="1" x14ac:dyDescent="0.25"/>
    <row r="136" s="1" customFormat="1" ht="15.95" customHeight="1" x14ac:dyDescent="0.25"/>
    <row r="137" s="1" customFormat="1" ht="15.95" customHeight="1" x14ac:dyDescent="0.25"/>
    <row r="138" s="1" customFormat="1" ht="15.95" customHeight="1" x14ac:dyDescent="0.25"/>
    <row r="139" s="1" customFormat="1" ht="15.95" customHeight="1" x14ac:dyDescent="0.25"/>
    <row r="140" s="1" customFormat="1" ht="15.95" customHeight="1" x14ac:dyDescent="0.25"/>
    <row r="141" s="1" customFormat="1" ht="15.95" customHeight="1" x14ac:dyDescent="0.25"/>
    <row r="142" s="1" customFormat="1" ht="15.95" customHeight="1" x14ac:dyDescent="0.25"/>
    <row r="143" s="1" customFormat="1" ht="15.95" customHeight="1" x14ac:dyDescent="0.25"/>
    <row r="144" s="1" customFormat="1" ht="15.95" customHeight="1" x14ac:dyDescent="0.25"/>
    <row r="145" s="1" customFormat="1" ht="15.95" customHeight="1" x14ac:dyDescent="0.25"/>
    <row r="146" s="1" customFormat="1" ht="15.95" customHeight="1" x14ac:dyDescent="0.25"/>
    <row r="147" s="1" customFormat="1" ht="15.95" customHeight="1" x14ac:dyDescent="0.25"/>
    <row r="148" s="1" customFormat="1" ht="15.95" customHeight="1" x14ac:dyDescent="0.25"/>
    <row r="149" s="1" customFormat="1" ht="15.95" customHeight="1" x14ac:dyDescent="0.25"/>
    <row r="150" s="1" customFormat="1" ht="15.95" customHeight="1" x14ac:dyDescent="0.25"/>
    <row r="151" s="1" customFormat="1" ht="15.95" customHeight="1" x14ac:dyDescent="0.25"/>
    <row r="152" s="1" customFormat="1" ht="15.95" customHeight="1" x14ac:dyDescent="0.25"/>
    <row r="153" s="1" customFormat="1" ht="15.95" customHeight="1" x14ac:dyDescent="0.25"/>
    <row r="154" s="1" customFormat="1" ht="15.95" customHeight="1" x14ac:dyDescent="0.25"/>
    <row r="155" s="1" customFormat="1" ht="15.95" customHeight="1" x14ac:dyDescent="0.25"/>
    <row r="156" s="1" customFormat="1" ht="15.95" customHeight="1" x14ac:dyDescent="0.25"/>
    <row r="157" s="1" customFormat="1" ht="15.95" customHeight="1" x14ac:dyDescent="0.25"/>
    <row r="158" s="1" customFormat="1" ht="15.95" customHeight="1" x14ac:dyDescent="0.25"/>
    <row r="159" s="1" customFormat="1" ht="15.95" customHeight="1" x14ac:dyDescent="0.25"/>
    <row r="160" s="1" customFormat="1" ht="15.95" customHeight="1" x14ac:dyDescent="0.25"/>
    <row r="161" s="1" customFormat="1" ht="15.95" customHeight="1" x14ac:dyDescent="0.25"/>
    <row r="162" s="1" customFormat="1" ht="15.95" customHeight="1" x14ac:dyDescent="0.25"/>
    <row r="163" s="1" customFormat="1" ht="15.95" customHeight="1" x14ac:dyDescent="0.25"/>
    <row r="164" s="1" customFormat="1" ht="15.95" customHeight="1" x14ac:dyDescent="0.25"/>
    <row r="165" s="1" customFormat="1" ht="15.95" customHeight="1" x14ac:dyDescent="0.25"/>
    <row r="166" s="1" customFormat="1" ht="15.95" customHeight="1" x14ac:dyDescent="0.25"/>
    <row r="167" s="1" customFormat="1" ht="15.95" customHeight="1" x14ac:dyDescent="0.25"/>
    <row r="168" s="1" customFormat="1" ht="15.95" customHeight="1" x14ac:dyDescent="0.25"/>
    <row r="169" s="1" customFormat="1" ht="15.95" customHeight="1" x14ac:dyDescent="0.25"/>
    <row r="170" s="1" customFormat="1" ht="15.95" customHeight="1" x14ac:dyDescent="0.25"/>
    <row r="171" s="1" customFormat="1" ht="15.95" customHeight="1" x14ac:dyDescent="0.25"/>
    <row r="172" s="1" customFormat="1" ht="15.95" customHeight="1" x14ac:dyDescent="0.25"/>
    <row r="173" s="1" customFormat="1" ht="15.95" customHeight="1" x14ac:dyDescent="0.25"/>
    <row r="174" s="1" customFormat="1" ht="15.95" customHeight="1" x14ac:dyDescent="0.25"/>
    <row r="175" s="1" customFormat="1" ht="15.95" customHeight="1" x14ac:dyDescent="0.25"/>
    <row r="176" s="1" customFormat="1" ht="15.95" customHeight="1" x14ac:dyDescent="0.25"/>
    <row r="177" s="1" customFormat="1" ht="15.95" customHeight="1" x14ac:dyDescent="0.25"/>
    <row r="178" s="1" customFormat="1" ht="15.95" customHeight="1" x14ac:dyDescent="0.25"/>
    <row r="179" s="1" customFormat="1" ht="15.95" customHeight="1" x14ac:dyDescent="0.25"/>
    <row r="180" s="1" customFormat="1" ht="15.95" customHeight="1" x14ac:dyDescent="0.25"/>
    <row r="181" s="1" customFormat="1" ht="15.95" customHeight="1" x14ac:dyDescent="0.25"/>
    <row r="182" s="1" customFormat="1" ht="15.95" customHeight="1" x14ac:dyDescent="0.25"/>
    <row r="183" s="1" customFormat="1" ht="15.95" customHeight="1" x14ac:dyDescent="0.25"/>
    <row r="184" s="1" customFormat="1" ht="15.95" customHeight="1" x14ac:dyDescent="0.25"/>
    <row r="185" s="1" customFormat="1" ht="15.95" customHeight="1" x14ac:dyDescent="0.25"/>
    <row r="186" s="1" customFormat="1" ht="15.95" customHeight="1" x14ac:dyDescent="0.25"/>
    <row r="187" s="1" customFormat="1" ht="15.95" customHeight="1" x14ac:dyDescent="0.25"/>
    <row r="188" s="1" customFormat="1" ht="15.95" customHeight="1" x14ac:dyDescent="0.25"/>
    <row r="189" s="1" customFormat="1" ht="15.95" customHeight="1" x14ac:dyDescent="0.25"/>
    <row r="190" s="1" customFormat="1" ht="15.95" customHeight="1" x14ac:dyDescent="0.25"/>
    <row r="191" s="1" customFormat="1" ht="15.95" customHeight="1" x14ac:dyDescent="0.25"/>
    <row r="192" s="1" customFormat="1" ht="15.95" customHeight="1" x14ac:dyDescent="0.25"/>
    <row r="193" s="1" customFormat="1" ht="15.95" customHeight="1" x14ac:dyDescent="0.25"/>
    <row r="194" s="1" customFormat="1" ht="15.95" customHeight="1" x14ac:dyDescent="0.25"/>
    <row r="195" s="1" customFormat="1" ht="15.95" customHeight="1" x14ac:dyDescent="0.25"/>
    <row r="196" s="1" customFormat="1" ht="15.95" customHeight="1" x14ac:dyDescent="0.25"/>
    <row r="197" s="1" customFormat="1" ht="15.95" customHeight="1" x14ac:dyDescent="0.25"/>
    <row r="198" s="1" customFormat="1" ht="15.95" customHeight="1" x14ac:dyDescent="0.25"/>
    <row r="199" s="1" customFormat="1" ht="15.95" customHeight="1" x14ac:dyDescent="0.25"/>
    <row r="200" s="1" customFormat="1" ht="15.95" customHeight="1" x14ac:dyDescent="0.25"/>
    <row r="201" s="1" customFormat="1" ht="15.95" customHeight="1" x14ac:dyDescent="0.25"/>
    <row r="202" s="1" customFormat="1" ht="15.95" customHeight="1" x14ac:dyDescent="0.25"/>
    <row r="203" s="1" customFormat="1" ht="15.95" customHeight="1" x14ac:dyDescent="0.25"/>
    <row r="204" s="1" customFormat="1" ht="15.95" customHeight="1" x14ac:dyDescent="0.25"/>
    <row r="205" s="1" customFormat="1" ht="15.95" customHeight="1" x14ac:dyDescent="0.25"/>
    <row r="206" s="1" customFormat="1" ht="15.95" customHeight="1" x14ac:dyDescent="0.25"/>
    <row r="207" s="1" customFormat="1" ht="15.95" customHeight="1" x14ac:dyDescent="0.25"/>
    <row r="208" s="1" customFormat="1" ht="15.95" customHeight="1" x14ac:dyDescent="0.25"/>
    <row r="209" s="1" customFormat="1" ht="15.95" customHeight="1" x14ac:dyDescent="0.25"/>
    <row r="210" s="1" customFormat="1" ht="15.95" customHeight="1" x14ac:dyDescent="0.25"/>
    <row r="211" s="1" customFormat="1" ht="15.95" customHeight="1" x14ac:dyDescent="0.25"/>
    <row r="212" s="1" customFormat="1" ht="15.95" customHeight="1" x14ac:dyDescent="0.25"/>
    <row r="213" s="1" customFormat="1" ht="15.95" customHeight="1" x14ac:dyDescent="0.25"/>
    <row r="214" s="1" customFormat="1" ht="15.95" customHeight="1" x14ac:dyDescent="0.25"/>
    <row r="215" s="1" customFormat="1" ht="15.95" customHeight="1" x14ac:dyDescent="0.25"/>
    <row r="216" s="1" customFormat="1" ht="15.95" customHeight="1" x14ac:dyDescent="0.25"/>
    <row r="217" s="1" customFormat="1" ht="15.95" customHeight="1" x14ac:dyDescent="0.25"/>
    <row r="218" s="1" customFormat="1" ht="15.95" customHeight="1" x14ac:dyDescent="0.25"/>
    <row r="219" s="1" customFormat="1" ht="15.95" customHeight="1" x14ac:dyDescent="0.25"/>
    <row r="220" s="1" customFormat="1" ht="15.95" customHeight="1" x14ac:dyDescent="0.25"/>
    <row r="221" s="1" customFormat="1" ht="15.95" customHeight="1" x14ac:dyDescent="0.25"/>
    <row r="222" s="1" customFormat="1" ht="15.95" customHeight="1" x14ac:dyDescent="0.25"/>
    <row r="223" s="1" customFormat="1" ht="15.95" customHeight="1" x14ac:dyDescent="0.25"/>
    <row r="224" s="1" customFormat="1" ht="15.95" customHeight="1" x14ac:dyDescent="0.25"/>
    <row r="225" s="1" customFormat="1" ht="15.95" customHeight="1" x14ac:dyDescent="0.25"/>
    <row r="226" s="1" customFormat="1" ht="15.95" customHeight="1" x14ac:dyDescent="0.25"/>
    <row r="227" s="1" customFormat="1" ht="15.95" customHeight="1" x14ac:dyDescent="0.25"/>
    <row r="228" s="1" customFormat="1" ht="15.95" customHeight="1" x14ac:dyDescent="0.25"/>
    <row r="229" s="1" customFormat="1" ht="15.95" customHeight="1" x14ac:dyDescent="0.25"/>
    <row r="230" s="1" customFormat="1" ht="15.95" customHeight="1" x14ac:dyDescent="0.25"/>
    <row r="231" s="1" customFormat="1" ht="15.95" customHeight="1" x14ac:dyDescent="0.25"/>
    <row r="232" s="1" customFormat="1" ht="15.95" customHeight="1" x14ac:dyDescent="0.25"/>
    <row r="233" s="1" customFormat="1" ht="15.95" customHeight="1" x14ac:dyDescent="0.25"/>
    <row r="234" s="1" customFormat="1" ht="15.95" customHeight="1" x14ac:dyDescent="0.25"/>
    <row r="235" s="1" customFormat="1" ht="15.95" customHeight="1" x14ac:dyDescent="0.25"/>
    <row r="236" s="1" customFormat="1" ht="15.95" customHeight="1" x14ac:dyDescent="0.25"/>
    <row r="237" s="1" customFormat="1" ht="15.95" customHeight="1" x14ac:dyDescent="0.25"/>
    <row r="238" s="1" customFormat="1" ht="15.95" customHeight="1" x14ac:dyDescent="0.25"/>
    <row r="239" s="1" customFormat="1" ht="15.95" customHeight="1" x14ac:dyDescent="0.25"/>
    <row r="240" s="1" customFormat="1" ht="15.95" customHeight="1" x14ac:dyDescent="0.25"/>
    <row r="241" s="1" customFormat="1" ht="15.95" customHeight="1" x14ac:dyDescent="0.25"/>
    <row r="242" s="1" customFormat="1" ht="15.95" customHeight="1" x14ac:dyDescent="0.25"/>
    <row r="243" s="1" customFormat="1" ht="15.95" customHeight="1" x14ac:dyDescent="0.25"/>
    <row r="244" s="1" customFormat="1" ht="15.95" customHeight="1" x14ac:dyDescent="0.25"/>
    <row r="245" s="1" customFormat="1" ht="15.95" customHeight="1" x14ac:dyDescent="0.25"/>
    <row r="246" s="1" customFormat="1" ht="15.95" customHeight="1" x14ac:dyDescent="0.25"/>
    <row r="247" s="1" customFormat="1" ht="15.95" customHeight="1" x14ac:dyDescent="0.25"/>
    <row r="248" s="1" customFormat="1" ht="15.95" customHeight="1" x14ac:dyDescent="0.25"/>
    <row r="249" s="1" customFormat="1" ht="15.95" customHeight="1" x14ac:dyDescent="0.25"/>
    <row r="250" s="1" customFormat="1" ht="15.95" customHeight="1" x14ac:dyDescent="0.25"/>
    <row r="251" s="1" customFormat="1" ht="15.95" customHeight="1" x14ac:dyDescent="0.25"/>
    <row r="252" s="1" customFormat="1" ht="15.95" customHeight="1" x14ac:dyDescent="0.25"/>
    <row r="253" s="1" customFormat="1" ht="15.95" customHeight="1" x14ac:dyDescent="0.25"/>
    <row r="254" s="1" customFormat="1" ht="15.95" customHeight="1" x14ac:dyDescent="0.25"/>
    <row r="255" s="1" customFormat="1" ht="15.95" customHeight="1" x14ac:dyDescent="0.25"/>
    <row r="256" s="1" customFormat="1" ht="15.95" customHeight="1" x14ac:dyDescent="0.25"/>
    <row r="257" s="1" customFormat="1" ht="15.95" customHeight="1" x14ac:dyDescent="0.25"/>
    <row r="258" s="1" customFormat="1" ht="15.95" customHeight="1" x14ac:dyDescent="0.25"/>
    <row r="259" s="1" customFormat="1" ht="15.95" customHeight="1" x14ac:dyDescent="0.25"/>
    <row r="260" s="1" customFormat="1" ht="15.95" customHeight="1" x14ac:dyDescent="0.25"/>
    <row r="261" s="1" customFormat="1" ht="15.95" customHeight="1" x14ac:dyDescent="0.25"/>
    <row r="262" s="1" customFormat="1" ht="15.95" customHeight="1" x14ac:dyDescent="0.25"/>
    <row r="263" s="1" customFormat="1" ht="15.95" customHeight="1" x14ac:dyDescent="0.25"/>
    <row r="264" s="1" customFormat="1" ht="15.95" customHeight="1" x14ac:dyDescent="0.25"/>
    <row r="265" s="1" customFormat="1" ht="15.95" customHeight="1" x14ac:dyDescent="0.25"/>
    <row r="266" s="1" customFormat="1" ht="15.95" customHeight="1" x14ac:dyDescent="0.25"/>
    <row r="267" s="1" customFormat="1" ht="15.95" customHeight="1" x14ac:dyDescent="0.25"/>
    <row r="268" s="1" customFormat="1" ht="15.95" customHeight="1" x14ac:dyDescent="0.25"/>
    <row r="269" s="1" customFormat="1" ht="15.95" customHeight="1" x14ac:dyDescent="0.25"/>
    <row r="270" s="1" customFormat="1" ht="15.95" customHeight="1" x14ac:dyDescent="0.25"/>
    <row r="271" s="1" customFormat="1" ht="15.95" customHeight="1" x14ac:dyDescent="0.25"/>
    <row r="272" s="1" customFormat="1" ht="15.95" customHeight="1" x14ac:dyDescent="0.25"/>
    <row r="273" s="1" customFormat="1" ht="15.95" customHeight="1" x14ac:dyDescent="0.25"/>
    <row r="274" s="1" customFormat="1" ht="15.95" customHeight="1" x14ac:dyDescent="0.25"/>
    <row r="275" s="1" customFormat="1" ht="15.95" customHeight="1" x14ac:dyDescent="0.25"/>
    <row r="276" s="1" customFormat="1" ht="15.95" customHeight="1" x14ac:dyDescent="0.25"/>
    <row r="277" s="1" customFormat="1" ht="15.95" customHeight="1" x14ac:dyDescent="0.25"/>
    <row r="278" s="1" customFormat="1" ht="15.95" customHeight="1" x14ac:dyDescent="0.25"/>
    <row r="279" s="1" customFormat="1" ht="15.95" customHeight="1" x14ac:dyDescent="0.25"/>
    <row r="280" s="1" customFormat="1" ht="15.95" customHeight="1" x14ac:dyDescent="0.25"/>
    <row r="281" s="1" customFormat="1" ht="15.95" customHeight="1" x14ac:dyDescent="0.25"/>
    <row r="282" s="1" customFormat="1" ht="15.95" customHeight="1" x14ac:dyDescent="0.25"/>
    <row r="283" s="1" customFormat="1" ht="15.95" customHeight="1" x14ac:dyDescent="0.25"/>
    <row r="284" s="1" customFormat="1" ht="15.95" customHeight="1" x14ac:dyDescent="0.25"/>
    <row r="285" s="1" customFormat="1" ht="15.95" customHeight="1" x14ac:dyDescent="0.25"/>
    <row r="286" s="1" customFormat="1" ht="15.95" customHeight="1" x14ac:dyDescent="0.25"/>
    <row r="287" s="1" customFormat="1" ht="15.95" customHeight="1" x14ac:dyDescent="0.25"/>
    <row r="288" s="1" customFormat="1" ht="15.95" customHeight="1" x14ac:dyDescent="0.25"/>
    <row r="289" s="1" customFormat="1" ht="15.95" customHeight="1" x14ac:dyDescent="0.25"/>
    <row r="290" s="1" customFormat="1" ht="15.95" customHeight="1" x14ac:dyDescent="0.25"/>
    <row r="291" s="1" customFormat="1" ht="15.95" customHeight="1" x14ac:dyDescent="0.25"/>
    <row r="292" s="1" customFormat="1" ht="15.95" customHeight="1" x14ac:dyDescent="0.25"/>
    <row r="293" s="1" customFormat="1" ht="15.95" customHeight="1" x14ac:dyDescent="0.25"/>
    <row r="294" s="1" customFormat="1" ht="15.95" customHeight="1" x14ac:dyDescent="0.25"/>
    <row r="295" s="1" customFormat="1" ht="15.95" customHeight="1" x14ac:dyDescent="0.25"/>
    <row r="296" s="1" customFormat="1" ht="15.95" customHeight="1" x14ac:dyDescent="0.25"/>
    <row r="297" s="1" customFormat="1" ht="15.95" customHeight="1" x14ac:dyDescent="0.25"/>
    <row r="298" s="1" customFormat="1" ht="15.95" customHeight="1" x14ac:dyDescent="0.25"/>
    <row r="299" s="1" customFormat="1" ht="15.95" customHeight="1" x14ac:dyDescent="0.25"/>
    <row r="300" s="1" customFormat="1" ht="15.95" customHeight="1" x14ac:dyDescent="0.25"/>
    <row r="301" s="1" customFormat="1" ht="15.95" customHeight="1" x14ac:dyDescent="0.25"/>
    <row r="302" s="1" customFormat="1" ht="15.95" customHeight="1" x14ac:dyDescent="0.25"/>
    <row r="303" s="1" customFormat="1" ht="15.95" customHeight="1" x14ac:dyDescent="0.25"/>
    <row r="304" s="1" customFormat="1" ht="15.95" customHeight="1" x14ac:dyDescent="0.25"/>
    <row r="305" s="1" customFormat="1" ht="15.95" customHeight="1" x14ac:dyDescent="0.25"/>
    <row r="306" s="1" customFormat="1" ht="15.95" customHeight="1" x14ac:dyDescent="0.25"/>
    <row r="307" s="1" customFormat="1" ht="15.95" customHeight="1" x14ac:dyDescent="0.25"/>
    <row r="308" s="1" customFormat="1" ht="15.95" customHeight="1" x14ac:dyDescent="0.25"/>
    <row r="309" s="1" customFormat="1" ht="15.95" customHeight="1" x14ac:dyDescent="0.25"/>
    <row r="310" s="1" customFormat="1" ht="15.95" customHeight="1" x14ac:dyDescent="0.25"/>
    <row r="311" s="1" customFormat="1" ht="15.95" customHeight="1" x14ac:dyDescent="0.25"/>
    <row r="312" s="1" customFormat="1" ht="15.95" customHeight="1" x14ac:dyDescent="0.25"/>
    <row r="313" s="1" customFormat="1" ht="15.95" customHeight="1" x14ac:dyDescent="0.25"/>
    <row r="314" s="1" customFormat="1" ht="15.95" customHeight="1" x14ac:dyDescent="0.25"/>
    <row r="315" s="1" customFormat="1" ht="15.95" customHeight="1" x14ac:dyDescent="0.25"/>
    <row r="316" s="1" customFormat="1" ht="15.95" customHeight="1" x14ac:dyDescent="0.25"/>
    <row r="317" s="1" customFormat="1" ht="15.95" customHeight="1" x14ac:dyDescent="0.25"/>
    <row r="318" s="1" customFormat="1" ht="15.95" customHeight="1" x14ac:dyDescent="0.25"/>
    <row r="319" s="1" customFormat="1" ht="15.95" customHeight="1" x14ac:dyDescent="0.25"/>
    <row r="320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  <row r="519" s="1" customFormat="1" ht="15.95" customHeight="1" x14ac:dyDescent="0.25"/>
    <row r="520" s="1" customFormat="1" ht="15.95" customHeight="1" x14ac:dyDescent="0.25"/>
    <row r="521" s="1" customFormat="1" ht="15.95" customHeight="1" x14ac:dyDescent="0.25"/>
    <row r="522" s="1" customFormat="1" ht="15.95" customHeight="1" x14ac:dyDescent="0.25"/>
    <row r="523" s="1" customFormat="1" ht="15.95" customHeight="1" x14ac:dyDescent="0.25"/>
    <row r="524" s="1" customFormat="1" ht="15.95" customHeight="1" x14ac:dyDescent="0.25"/>
    <row r="525" s="1" customFormat="1" ht="15.95" customHeight="1" x14ac:dyDescent="0.25"/>
    <row r="526" s="1" customFormat="1" ht="15.95" customHeight="1" x14ac:dyDescent="0.25"/>
    <row r="527" s="1" customFormat="1" ht="15.95" customHeight="1" x14ac:dyDescent="0.25"/>
    <row r="528" s="1" customFormat="1" ht="15.95" customHeight="1" x14ac:dyDescent="0.25"/>
    <row r="529" s="1" customFormat="1" ht="15.95" customHeight="1" x14ac:dyDescent="0.25"/>
    <row r="530" s="1" customFormat="1" ht="15.95" customHeight="1" x14ac:dyDescent="0.25"/>
    <row r="531" s="1" customFormat="1" ht="15.95" customHeight="1" x14ac:dyDescent="0.25"/>
    <row r="532" s="1" customFormat="1" ht="15.95" customHeight="1" x14ac:dyDescent="0.25"/>
    <row r="533" s="1" customFormat="1" ht="15.95" customHeight="1" x14ac:dyDescent="0.25"/>
    <row r="534" s="1" customFormat="1" ht="15.95" customHeight="1" x14ac:dyDescent="0.25"/>
    <row r="535" s="1" customFormat="1" ht="15.95" customHeight="1" x14ac:dyDescent="0.25"/>
    <row r="536" s="1" customFormat="1" ht="15.95" customHeight="1" x14ac:dyDescent="0.25"/>
    <row r="537" s="1" customFormat="1" ht="15.95" customHeight="1" x14ac:dyDescent="0.25"/>
    <row r="538" s="1" customFormat="1" ht="15.95" customHeight="1" x14ac:dyDescent="0.25"/>
    <row r="539" s="1" customFormat="1" ht="15.95" customHeight="1" x14ac:dyDescent="0.25"/>
    <row r="540" s="1" customFormat="1" ht="15.95" customHeight="1" x14ac:dyDescent="0.25"/>
    <row r="541" s="1" customFormat="1" ht="15.95" customHeight="1" x14ac:dyDescent="0.25"/>
    <row r="542" s="1" customFormat="1" ht="15.95" customHeight="1" x14ac:dyDescent="0.25"/>
    <row r="543" s="1" customFormat="1" ht="15.95" customHeight="1" x14ac:dyDescent="0.25"/>
    <row r="544" s="1" customFormat="1" ht="15.95" customHeight="1" x14ac:dyDescent="0.25"/>
    <row r="545" s="1" customFormat="1" ht="15.95" customHeight="1" x14ac:dyDescent="0.25"/>
    <row r="546" s="1" customFormat="1" ht="15.95" customHeight="1" x14ac:dyDescent="0.25"/>
    <row r="547" s="1" customFormat="1" ht="15.95" customHeight="1" x14ac:dyDescent="0.25"/>
    <row r="548" s="1" customFormat="1" ht="15.95" customHeight="1" x14ac:dyDescent="0.25"/>
    <row r="549" s="1" customFormat="1" ht="15.95" customHeight="1" x14ac:dyDescent="0.25"/>
    <row r="550" s="1" customFormat="1" ht="15.95" customHeight="1" x14ac:dyDescent="0.25"/>
    <row r="551" s="1" customFormat="1" ht="15.95" customHeight="1" x14ac:dyDescent="0.25"/>
    <row r="552" s="1" customFormat="1" ht="15.95" customHeight="1" x14ac:dyDescent="0.25"/>
    <row r="553" s="1" customFormat="1" ht="15.95" customHeight="1" x14ac:dyDescent="0.25"/>
    <row r="554" s="1" customFormat="1" ht="15.95" customHeight="1" x14ac:dyDescent="0.25"/>
    <row r="555" s="1" customFormat="1" ht="15.95" customHeight="1" x14ac:dyDescent="0.25"/>
    <row r="556" s="1" customFormat="1" ht="15.95" customHeight="1" x14ac:dyDescent="0.25"/>
    <row r="557" s="1" customFormat="1" ht="15.95" customHeight="1" x14ac:dyDescent="0.25"/>
    <row r="558" s="1" customFormat="1" ht="15.95" customHeight="1" x14ac:dyDescent="0.25"/>
    <row r="559" s="1" customFormat="1" ht="15.95" customHeight="1" x14ac:dyDescent="0.25"/>
    <row r="560" s="1" customFormat="1" ht="15.95" customHeight="1" x14ac:dyDescent="0.25"/>
    <row r="561" s="1" customFormat="1" ht="15.95" customHeight="1" x14ac:dyDescent="0.25"/>
    <row r="562" s="1" customFormat="1" ht="15.95" customHeight="1" x14ac:dyDescent="0.25"/>
    <row r="563" s="1" customFormat="1" ht="15.95" customHeight="1" x14ac:dyDescent="0.25"/>
    <row r="564" s="1" customFormat="1" ht="15.95" customHeight="1" x14ac:dyDescent="0.25"/>
    <row r="565" s="1" customFormat="1" ht="15.95" customHeight="1" x14ac:dyDescent="0.25"/>
    <row r="566" s="1" customFormat="1" ht="15.95" customHeight="1" x14ac:dyDescent="0.25"/>
    <row r="567" s="1" customFormat="1" ht="15.95" customHeight="1" x14ac:dyDescent="0.25"/>
    <row r="568" s="1" customFormat="1" ht="15.95" customHeight="1" x14ac:dyDescent="0.25"/>
    <row r="569" s="1" customFormat="1" ht="15.95" customHeight="1" x14ac:dyDescent="0.25"/>
    <row r="570" s="1" customFormat="1" ht="15.95" customHeight="1" x14ac:dyDescent="0.25"/>
    <row r="571" s="1" customFormat="1" ht="15.95" customHeight="1" x14ac:dyDescent="0.25"/>
    <row r="572" s="1" customFormat="1" ht="15.95" customHeight="1" x14ac:dyDescent="0.25"/>
    <row r="573" s="1" customFormat="1" ht="15.95" customHeight="1" x14ac:dyDescent="0.25"/>
    <row r="574" s="1" customFormat="1" ht="15.95" customHeight="1" x14ac:dyDescent="0.25"/>
    <row r="575" s="1" customFormat="1" ht="15.95" customHeight="1" x14ac:dyDescent="0.25"/>
    <row r="576" s="1" customFormat="1" ht="15.95" customHeight="1" x14ac:dyDescent="0.25"/>
    <row r="577" s="1" customFormat="1" ht="15.95" customHeight="1" x14ac:dyDescent="0.25"/>
    <row r="578" s="1" customFormat="1" ht="15.95" customHeight="1" x14ac:dyDescent="0.25"/>
    <row r="579" s="1" customFormat="1" ht="15.95" customHeight="1" x14ac:dyDescent="0.25"/>
    <row r="580" s="1" customFormat="1" ht="15.95" customHeight="1" x14ac:dyDescent="0.25"/>
    <row r="581" s="1" customFormat="1" ht="15.95" customHeight="1" x14ac:dyDescent="0.25"/>
    <row r="582" s="1" customFormat="1" ht="15.95" customHeight="1" x14ac:dyDescent="0.25"/>
    <row r="583" s="1" customFormat="1" ht="15.95" customHeight="1" x14ac:dyDescent="0.25"/>
    <row r="584" s="1" customFormat="1" ht="15.95" customHeight="1" x14ac:dyDescent="0.25"/>
    <row r="585" s="1" customFormat="1" ht="15.95" customHeight="1" x14ac:dyDescent="0.25"/>
    <row r="586" s="1" customFormat="1" ht="15.95" customHeight="1" x14ac:dyDescent="0.25"/>
    <row r="587" s="1" customFormat="1" ht="15.95" customHeight="1" x14ac:dyDescent="0.25"/>
    <row r="588" s="1" customFormat="1" ht="15.95" customHeight="1" x14ac:dyDescent="0.25"/>
    <row r="589" s="1" customFormat="1" ht="15.95" customHeight="1" x14ac:dyDescent="0.25"/>
    <row r="590" s="1" customFormat="1" ht="15.95" customHeight="1" x14ac:dyDescent="0.25"/>
    <row r="591" s="1" customFormat="1" ht="15.95" customHeight="1" x14ac:dyDescent="0.25"/>
    <row r="592" s="1" customFormat="1" ht="15.95" customHeight="1" x14ac:dyDescent="0.25"/>
    <row r="593" s="1" customFormat="1" ht="15.95" customHeight="1" x14ac:dyDescent="0.25"/>
    <row r="594" s="1" customFormat="1" ht="15.95" customHeight="1" x14ac:dyDescent="0.25"/>
    <row r="595" s="1" customFormat="1" ht="15.95" customHeight="1" x14ac:dyDescent="0.25"/>
    <row r="596" s="1" customFormat="1" ht="15.95" customHeight="1" x14ac:dyDescent="0.25"/>
    <row r="597" s="1" customFormat="1" ht="15.95" customHeight="1" x14ac:dyDescent="0.25"/>
    <row r="598" s="1" customFormat="1" ht="15.95" customHeight="1" x14ac:dyDescent="0.25"/>
    <row r="599" s="1" customFormat="1" ht="15.95" customHeight="1" x14ac:dyDescent="0.25"/>
    <row r="600" s="1" customFormat="1" ht="15.95" customHeight="1" x14ac:dyDescent="0.25"/>
    <row r="601" s="1" customFormat="1" ht="15.95" customHeight="1" x14ac:dyDescent="0.25"/>
    <row r="602" s="1" customFormat="1" ht="15.95" customHeight="1" x14ac:dyDescent="0.25"/>
    <row r="603" s="1" customFormat="1" ht="15.95" customHeight="1" x14ac:dyDescent="0.25"/>
    <row r="604" s="1" customFormat="1" ht="15.95" customHeight="1" x14ac:dyDescent="0.25"/>
    <row r="605" s="1" customFormat="1" ht="15.95" customHeight="1" x14ac:dyDescent="0.25"/>
    <row r="606" s="1" customFormat="1" ht="15.95" customHeight="1" x14ac:dyDescent="0.25"/>
    <row r="607" s="1" customFormat="1" ht="15.95" customHeight="1" x14ac:dyDescent="0.25"/>
    <row r="608" s="1" customFormat="1" ht="15.95" customHeight="1" x14ac:dyDescent="0.25"/>
    <row r="609" s="1" customFormat="1" ht="15.95" customHeight="1" x14ac:dyDescent="0.25"/>
    <row r="610" s="1" customFormat="1" ht="15.95" customHeight="1" x14ac:dyDescent="0.25"/>
    <row r="611" s="1" customFormat="1" ht="15.95" customHeight="1" x14ac:dyDescent="0.25"/>
    <row r="612" s="1" customFormat="1" ht="15.95" customHeight="1" x14ac:dyDescent="0.25"/>
    <row r="613" s="1" customFormat="1" ht="15.95" customHeight="1" x14ac:dyDescent="0.25"/>
    <row r="614" s="1" customFormat="1" ht="15.95" customHeight="1" x14ac:dyDescent="0.25"/>
    <row r="615" s="1" customFormat="1" ht="15.95" customHeight="1" x14ac:dyDescent="0.25"/>
    <row r="616" s="1" customFormat="1" ht="15.95" customHeight="1" x14ac:dyDescent="0.25"/>
    <row r="617" s="1" customFormat="1" ht="15.95" customHeight="1" x14ac:dyDescent="0.25"/>
    <row r="618" s="1" customFormat="1" ht="15.95" customHeight="1" x14ac:dyDescent="0.25"/>
    <row r="619" s="1" customFormat="1" ht="15.95" customHeight="1" x14ac:dyDescent="0.25"/>
    <row r="620" s="1" customFormat="1" ht="15.95" customHeight="1" x14ac:dyDescent="0.25"/>
    <row r="621" s="1" customFormat="1" ht="15.95" customHeight="1" x14ac:dyDescent="0.25"/>
    <row r="622" s="1" customFormat="1" ht="15.95" customHeight="1" x14ac:dyDescent="0.25"/>
    <row r="623" s="1" customFormat="1" ht="15.95" customHeight="1" x14ac:dyDescent="0.25"/>
    <row r="624" s="1" customFormat="1" ht="15.95" customHeight="1" x14ac:dyDescent="0.25"/>
    <row r="625" s="1" customFormat="1" ht="15.95" customHeight="1" x14ac:dyDescent="0.25"/>
    <row r="626" s="1" customFormat="1" ht="15.95" customHeight="1" x14ac:dyDescent="0.25"/>
    <row r="627" s="1" customFormat="1" ht="15.95" customHeight="1" x14ac:dyDescent="0.25"/>
    <row r="628" s="1" customFormat="1" ht="15.95" customHeight="1" x14ac:dyDescent="0.25"/>
    <row r="629" s="1" customFormat="1" ht="15.95" customHeight="1" x14ac:dyDescent="0.25"/>
    <row r="630" s="1" customFormat="1" ht="15.95" customHeight="1" x14ac:dyDescent="0.25"/>
    <row r="631" s="1" customFormat="1" ht="15.95" customHeight="1" x14ac:dyDescent="0.25"/>
    <row r="632" s="1" customFormat="1" ht="15.95" customHeight="1" x14ac:dyDescent="0.25"/>
    <row r="633" s="1" customFormat="1" ht="15.95" customHeight="1" x14ac:dyDescent="0.25"/>
    <row r="634" s="1" customFormat="1" ht="15.95" customHeight="1" x14ac:dyDescent="0.25"/>
    <row r="635" s="1" customFormat="1" ht="15.95" customHeight="1" x14ac:dyDescent="0.25"/>
    <row r="636" s="1" customFormat="1" ht="15.95" customHeight="1" x14ac:dyDescent="0.25"/>
    <row r="637" s="1" customFormat="1" ht="15.95" customHeight="1" x14ac:dyDescent="0.25"/>
    <row r="638" s="1" customFormat="1" ht="15.95" customHeight="1" x14ac:dyDescent="0.25"/>
    <row r="639" s="1" customFormat="1" ht="15.95" customHeight="1" x14ac:dyDescent="0.25"/>
    <row r="640" s="1" customFormat="1" ht="15.95" customHeight="1" x14ac:dyDescent="0.25"/>
    <row r="641" s="1" customFormat="1" ht="15.95" customHeight="1" x14ac:dyDescent="0.25"/>
    <row r="642" s="1" customFormat="1" ht="15.95" customHeight="1" x14ac:dyDescent="0.25"/>
    <row r="643" s="1" customFormat="1" ht="15.95" customHeight="1" x14ac:dyDescent="0.25"/>
    <row r="644" s="1" customFormat="1" ht="15.95" customHeight="1" x14ac:dyDescent="0.25"/>
    <row r="645" s="1" customFormat="1" ht="15.95" customHeight="1" x14ac:dyDescent="0.25"/>
    <row r="646" s="1" customFormat="1" ht="15.95" customHeight="1" x14ac:dyDescent="0.25"/>
    <row r="647" s="1" customFormat="1" ht="15.95" customHeight="1" x14ac:dyDescent="0.25"/>
    <row r="648" s="1" customFormat="1" ht="15.95" customHeight="1" x14ac:dyDescent="0.25"/>
    <row r="649" s="1" customFormat="1" ht="15.95" customHeight="1" x14ac:dyDescent="0.25"/>
    <row r="650" s="1" customFormat="1" ht="15.95" customHeight="1" x14ac:dyDescent="0.25"/>
    <row r="651" s="1" customFormat="1" ht="15.95" customHeight="1" x14ac:dyDescent="0.25"/>
    <row r="652" s="1" customFormat="1" ht="15.95" customHeight="1" x14ac:dyDescent="0.25"/>
    <row r="653" s="1" customFormat="1" ht="15.95" customHeight="1" x14ac:dyDescent="0.25"/>
    <row r="654" s="1" customFormat="1" ht="15.95" customHeight="1" x14ac:dyDescent="0.25"/>
    <row r="655" s="1" customFormat="1" ht="15.95" customHeight="1" x14ac:dyDescent="0.25"/>
    <row r="656" s="1" customFormat="1" ht="15.95" customHeight="1" x14ac:dyDescent="0.25"/>
    <row r="657" s="1" customFormat="1" ht="15.95" customHeight="1" x14ac:dyDescent="0.25"/>
    <row r="658" s="1" customFormat="1" ht="15.95" customHeight="1" x14ac:dyDescent="0.25"/>
    <row r="659" s="1" customFormat="1" ht="15.95" customHeight="1" x14ac:dyDescent="0.25"/>
    <row r="660" s="1" customFormat="1" ht="15.95" customHeight="1" x14ac:dyDescent="0.25"/>
    <row r="661" s="1" customFormat="1" ht="15.95" customHeight="1" x14ac:dyDescent="0.25"/>
    <row r="662" s="1" customFormat="1" ht="15.95" customHeight="1" x14ac:dyDescent="0.25"/>
    <row r="663" s="1" customFormat="1" ht="15.95" customHeight="1" x14ac:dyDescent="0.25"/>
    <row r="664" s="1" customFormat="1" ht="15.95" customHeight="1" x14ac:dyDescent="0.25"/>
    <row r="665" s="1" customFormat="1" ht="15.95" customHeight="1" x14ac:dyDescent="0.25"/>
    <row r="666" s="1" customFormat="1" ht="15.95" customHeight="1" x14ac:dyDescent="0.25"/>
    <row r="667" s="1" customFormat="1" ht="15.95" customHeight="1" x14ac:dyDescent="0.25"/>
    <row r="668" s="1" customFormat="1" ht="15.95" customHeight="1" x14ac:dyDescent="0.25"/>
    <row r="669" s="1" customFormat="1" ht="15.95" customHeight="1" x14ac:dyDescent="0.25"/>
    <row r="670" s="1" customFormat="1" ht="15.95" customHeight="1" x14ac:dyDescent="0.25"/>
    <row r="671" s="1" customFormat="1" ht="15.95" customHeight="1" x14ac:dyDescent="0.25"/>
    <row r="672" s="1" customFormat="1" ht="15.95" customHeight="1" x14ac:dyDescent="0.25"/>
    <row r="673" s="1" customFormat="1" ht="15.95" customHeight="1" x14ac:dyDescent="0.25"/>
    <row r="674" s="1" customFormat="1" ht="15.95" customHeight="1" x14ac:dyDescent="0.25"/>
    <row r="675" s="1" customFormat="1" ht="15.95" customHeight="1" x14ac:dyDescent="0.25"/>
    <row r="676" s="1" customFormat="1" ht="15.95" customHeight="1" x14ac:dyDescent="0.25"/>
    <row r="677" s="1" customFormat="1" ht="15.95" customHeight="1" x14ac:dyDescent="0.25"/>
    <row r="678" s="1" customFormat="1" ht="15.95" customHeight="1" x14ac:dyDescent="0.25"/>
    <row r="679" s="1" customFormat="1" ht="15.95" customHeight="1" x14ac:dyDescent="0.25"/>
    <row r="680" s="1" customFormat="1" ht="15.95" customHeight="1" x14ac:dyDescent="0.25"/>
    <row r="681" s="1" customFormat="1" ht="15.95" customHeight="1" x14ac:dyDescent="0.25"/>
    <row r="682" s="1" customFormat="1" ht="15.95" customHeight="1" x14ac:dyDescent="0.25"/>
    <row r="683" s="1" customFormat="1" ht="15.95" customHeight="1" x14ac:dyDescent="0.25"/>
    <row r="684" s="1" customFormat="1" ht="15.95" customHeight="1" x14ac:dyDescent="0.25"/>
    <row r="685" s="1" customFormat="1" ht="15.95" customHeight="1" x14ac:dyDescent="0.25"/>
    <row r="686" s="1" customFormat="1" ht="15.95" customHeight="1" x14ac:dyDescent="0.25"/>
    <row r="687" s="1" customFormat="1" ht="15.95" customHeight="1" x14ac:dyDescent="0.25"/>
    <row r="688" s="1" customFormat="1" ht="15.95" customHeight="1" x14ac:dyDescent="0.25"/>
    <row r="689" s="1" customFormat="1" ht="15.95" customHeight="1" x14ac:dyDescent="0.25"/>
    <row r="690" s="1" customFormat="1" ht="15.95" customHeight="1" x14ac:dyDescent="0.25"/>
    <row r="691" s="1" customFormat="1" ht="15.95" customHeight="1" x14ac:dyDescent="0.25"/>
    <row r="692" s="1" customFormat="1" ht="15.95" customHeight="1" x14ac:dyDescent="0.25"/>
    <row r="693" s="1" customFormat="1" ht="15.95" customHeight="1" x14ac:dyDescent="0.25"/>
    <row r="694" s="1" customFormat="1" ht="15.95" customHeight="1" x14ac:dyDescent="0.25"/>
    <row r="695" s="1" customFormat="1" ht="15.95" customHeight="1" x14ac:dyDescent="0.25"/>
    <row r="696" s="1" customFormat="1" ht="15.95" customHeight="1" x14ac:dyDescent="0.25"/>
    <row r="697" s="1" customFormat="1" ht="15.95" customHeight="1" x14ac:dyDescent="0.25"/>
    <row r="698" s="1" customFormat="1" ht="15.95" customHeight="1" x14ac:dyDescent="0.25"/>
    <row r="699" s="1" customFormat="1" ht="15.95" customHeight="1" x14ac:dyDescent="0.25"/>
    <row r="700" s="1" customFormat="1" ht="15.95" customHeight="1" x14ac:dyDescent="0.25"/>
    <row r="701" s="1" customFormat="1" ht="15.95" customHeight="1" x14ac:dyDescent="0.25"/>
    <row r="702" s="1" customFormat="1" ht="15.95" customHeight="1" x14ac:dyDescent="0.25"/>
    <row r="703" s="1" customFormat="1" ht="15.95" customHeight="1" x14ac:dyDescent="0.25"/>
    <row r="704" s="1" customFormat="1" ht="15.95" customHeight="1" x14ac:dyDescent="0.25"/>
    <row r="705" s="1" customFormat="1" ht="15.95" customHeight="1" x14ac:dyDescent="0.25"/>
    <row r="706" s="1" customFormat="1" ht="15.95" customHeight="1" x14ac:dyDescent="0.25"/>
    <row r="707" s="1" customFormat="1" ht="15.95" customHeight="1" x14ac:dyDescent="0.25"/>
    <row r="708" s="1" customFormat="1" ht="15.95" customHeight="1" x14ac:dyDescent="0.25"/>
    <row r="709" s="1" customFormat="1" ht="15.95" customHeight="1" x14ac:dyDescent="0.25"/>
    <row r="710" s="1" customFormat="1" ht="15.95" customHeight="1" x14ac:dyDescent="0.25"/>
    <row r="711" s="1" customFormat="1" ht="15.95" customHeight="1" x14ac:dyDescent="0.25"/>
    <row r="712" s="1" customFormat="1" ht="15.95" customHeight="1" x14ac:dyDescent="0.25"/>
    <row r="713" s="1" customFormat="1" ht="15.95" customHeight="1" x14ac:dyDescent="0.25"/>
    <row r="714" s="1" customFormat="1" ht="15.95" customHeight="1" x14ac:dyDescent="0.25"/>
    <row r="715" s="1" customFormat="1" ht="15.95" customHeight="1" x14ac:dyDescent="0.25"/>
    <row r="716" s="1" customFormat="1" ht="15.95" customHeight="1" x14ac:dyDescent="0.25"/>
    <row r="717" s="1" customFormat="1" ht="15.95" customHeight="1" x14ac:dyDescent="0.25"/>
    <row r="718" s="1" customFormat="1" ht="15.95" customHeight="1" x14ac:dyDescent="0.25"/>
    <row r="719" s="1" customFormat="1" ht="15.95" customHeight="1" x14ac:dyDescent="0.25"/>
    <row r="720" s="1" customFormat="1" ht="15.95" customHeight="1" x14ac:dyDescent="0.25"/>
    <row r="721" s="1" customFormat="1" ht="15.95" customHeight="1" x14ac:dyDescent="0.25"/>
    <row r="722" s="1" customFormat="1" ht="15.95" customHeight="1" x14ac:dyDescent="0.25"/>
    <row r="723" s="1" customFormat="1" ht="15.95" customHeight="1" x14ac:dyDescent="0.25"/>
    <row r="724" s="1" customFormat="1" ht="15.95" customHeight="1" x14ac:dyDescent="0.25"/>
    <row r="725" s="1" customFormat="1" ht="15.95" customHeight="1" x14ac:dyDescent="0.25"/>
    <row r="726" s="1" customFormat="1" ht="15.95" customHeight="1" x14ac:dyDescent="0.25"/>
    <row r="727" s="1" customFormat="1" ht="15.95" customHeight="1" x14ac:dyDescent="0.25"/>
    <row r="728" s="1" customFormat="1" ht="15.95" customHeight="1" x14ac:dyDescent="0.25"/>
    <row r="729" s="1" customFormat="1" ht="15.95" customHeight="1" x14ac:dyDescent="0.25"/>
    <row r="730" s="1" customFormat="1" ht="15.95" customHeight="1" x14ac:dyDescent="0.25"/>
    <row r="731" s="1" customFormat="1" ht="15.95" customHeight="1" x14ac:dyDescent="0.25"/>
    <row r="732" s="1" customFormat="1" ht="15.95" customHeight="1" x14ac:dyDescent="0.25"/>
    <row r="733" s="1" customFormat="1" ht="15.95" customHeight="1" x14ac:dyDescent="0.25"/>
    <row r="734" s="1" customFormat="1" ht="15.95" customHeight="1" x14ac:dyDescent="0.25"/>
    <row r="735" s="1" customFormat="1" ht="15.95" customHeight="1" x14ac:dyDescent="0.25"/>
    <row r="736" s="1" customFormat="1" ht="15.95" customHeight="1" x14ac:dyDescent="0.25"/>
    <row r="737" s="1" customFormat="1" ht="15.95" customHeight="1" x14ac:dyDescent="0.25"/>
    <row r="738" s="1" customFormat="1" ht="15.95" customHeight="1" x14ac:dyDescent="0.25"/>
    <row r="739" s="1" customFormat="1" ht="15.95" customHeight="1" x14ac:dyDescent="0.25"/>
    <row r="740" s="1" customFormat="1" ht="15.95" customHeight="1" x14ac:dyDescent="0.25"/>
    <row r="741" s="1" customFormat="1" ht="15.95" customHeight="1" x14ac:dyDescent="0.25"/>
    <row r="742" s="1" customFormat="1" ht="15.95" customHeight="1" x14ac:dyDescent="0.25"/>
    <row r="743" s="1" customFormat="1" ht="15.95" customHeight="1" x14ac:dyDescent="0.25"/>
    <row r="744" s="1" customFormat="1" ht="15.95" customHeight="1" x14ac:dyDescent="0.25"/>
    <row r="745" s="1" customFormat="1" ht="15.95" customHeight="1" x14ac:dyDescent="0.25"/>
    <row r="746" s="1" customFormat="1" ht="15.95" customHeight="1" x14ac:dyDescent="0.25"/>
    <row r="747" s="1" customFormat="1" ht="15.95" customHeight="1" x14ac:dyDescent="0.25"/>
    <row r="748" s="1" customFormat="1" ht="15.95" customHeight="1" x14ac:dyDescent="0.25"/>
    <row r="749" s="1" customFormat="1" ht="15.95" customHeight="1" x14ac:dyDescent="0.25"/>
    <row r="750" s="1" customFormat="1" ht="15.95" customHeight="1" x14ac:dyDescent="0.25"/>
    <row r="751" s="1" customFormat="1" ht="15.95" customHeight="1" x14ac:dyDescent="0.25"/>
    <row r="752" s="1" customFormat="1" ht="15.95" customHeight="1" x14ac:dyDescent="0.25"/>
    <row r="753" s="1" customFormat="1" ht="15.95" customHeight="1" x14ac:dyDescent="0.25"/>
    <row r="754" s="1" customFormat="1" ht="15.95" customHeight="1" x14ac:dyDescent="0.25"/>
    <row r="755" s="1" customFormat="1" ht="15.95" customHeight="1" x14ac:dyDescent="0.25"/>
    <row r="756" s="1" customFormat="1" ht="15.95" customHeight="1" x14ac:dyDescent="0.25"/>
    <row r="757" s="1" customFormat="1" ht="15.95" customHeight="1" x14ac:dyDescent="0.25"/>
    <row r="758" s="1" customFormat="1" ht="15.95" customHeight="1" x14ac:dyDescent="0.25"/>
    <row r="759" s="1" customFormat="1" ht="15.95" customHeight="1" x14ac:dyDescent="0.25"/>
    <row r="760" s="1" customFormat="1" ht="15.95" customHeight="1" x14ac:dyDescent="0.25"/>
    <row r="761" s="1" customFormat="1" ht="15.95" customHeight="1" x14ac:dyDescent="0.25"/>
    <row r="762" s="1" customFormat="1" ht="15.95" customHeight="1" x14ac:dyDescent="0.25"/>
    <row r="763" s="1" customFormat="1" ht="15.95" customHeight="1" x14ac:dyDescent="0.25"/>
    <row r="764" s="1" customFormat="1" ht="15.95" customHeight="1" x14ac:dyDescent="0.25"/>
    <row r="765" s="1" customFormat="1" ht="15.95" customHeight="1" x14ac:dyDescent="0.25"/>
    <row r="766" s="1" customFormat="1" ht="15.95" customHeight="1" x14ac:dyDescent="0.25"/>
    <row r="767" s="1" customFormat="1" ht="15.95" customHeight="1" x14ac:dyDescent="0.25"/>
    <row r="768" s="1" customFormat="1" ht="15.95" customHeight="1" x14ac:dyDescent="0.25"/>
    <row r="769" s="1" customFormat="1" ht="15.95" customHeight="1" x14ac:dyDescent="0.25"/>
    <row r="770" s="1" customFormat="1" ht="15.95" customHeight="1" x14ac:dyDescent="0.25"/>
    <row r="771" s="1" customFormat="1" ht="15.95" customHeight="1" x14ac:dyDescent="0.25"/>
    <row r="772" s="1" customFormat="1" ht="15.95" customHeight="1" x14ac:dyDescent="0.25"/>
    <row r="773" s="1" customFormat="1" ht="15.95" customHeight="1" x14ac:dyDescent="0.25"/>
    <row r="774" s="1" customFormat="1" ht="15.95" customHeight="1" x14ac:dyDescent="0.25"/>
    <row r="775" s="1" customFormat="1" ht="15.95" customHeight="1" x14ac:dyDescent="0.25"/>
    <row r="776" s="1" customFormat="1" ht="15.95" customHeight="1" x14ac:dyDescent="0.25"/>
    <row r="777" s="1" customFormat="1" ht="15.95" customHeight="1" x14ac:dyDescent="0.25"/>
    <row r="778" s="1" customFormat="1" ht="15.95" customHeight="1" x14ac:dyDescent="0.25"/>
    <row r="779" s="1" customFormat="1" ht="15.95" customHeight="1" x14ac:dyDescent="0.25"/>
    <row r="780" s="1" customFormat="1" ht="15.95" customHeight="1" x14ac:dyDescent="0.25"/>
    <row r="781" s="1" customFormat="1" ht="15.95" customHeight="1" x14ac:dyDescent="0.25"/>
    <row r="782" s="1" customFormat="1" ht="15.95" customHeight="1" x14ac:dyDescent="0.25"/>
    <row r="783" s="1" customFormat="1" ht="15.95" customHeight="1" x14ac:dyDescent="0.25"/>
    <row r="784" s="1" customFormat="1" ht="15.95" customHeight="1" x14ac:dyDescent="0.25"/>
    <row r="785" s="1" customFormat="1" ht="15.95" customHeight="1" x14ac:dyDescent="0.25"/>
    <row r="786" s="1" customFormat="1" ht="15.95" customHeight="1" x14ac:dyDescent="0.25"/>
    <row r="787" s="1" customFormat="1" ht="15.95" customHeight="1" x14ac:dyDescent="0.25"/>
    <row r="788" s="1" customFormat="1" ht="15.95" customHeight="1" x14ac:dyDescent="0.25"/>
    <row r="789" s="1" customFormat="1" ht="15.95" customHeight="1" x14ac:dyDescent="0.25"/>
    <row r="790" s="1" customFormat="1" ht="15.95" customHeight="1" x14ac:dyDescent="0.25"/>
    <row r="791" s="1" customFormat="1" ht="15.95" customHeight="1" x14ac:dyDescent="0.25"/>
    <row r="792" s="1" customFormat="1" ht="15.95" customHeight="1" x14ac:dyDescent="0.25"/>
    <row r="793" s="1" customFormat="1" ht="15.95" customHeight="1" x14ac:dyDescent="0.25"/>
    <row r="794" s="1" customFormat="1" ht="15.95" customHeight="1" x14ac:dyDescent="0.25"/>
    <row r="795" s="1" customFormat="1" ht="15.95" customHeight="1" x14ac:dyDescent="0.25"/>
    <row r="796" s="1" customFormat="1" ht="15.95" customHeight="1" x14ac:dyDescent="0.25"/>
    <row r="797" s="1" customFormat="1" ht="15.95" customHeight="1" x14ac:dyDescent="0.25"/>
    <row r="798" s="1" customFormat="1" ht="15.95" customHeight="1" x14ac:dyDescent="0.25"/>
    <row r="799" s="1" customFormat="1" ht="15.95" customHeight="1" x14ac:dyDescent="0.25"/>
    <row r="800" s="1" customFormat="1" ht="15.95" customHeight="1" x14ac:dyDescent="0.25"/>
    <row r="801" s="1" customFormat="1" ht="15.95" customHeight="1" x14ac:dyDescent="0.25"/>
    <row r="802" s="1" customFormat="1" ht="15.95" customHeight="1" x14ac:dyDescent="0.25"/>
    <row r="803" s="1" customFormat="1" ht="15.95" customHeight="1" x14ac:dyDescent="0.25"/>
    <row r="804" s="1" customFormat="1" ht="15.95" customHeight="1" x14ac:dyDescent="0.25"/>
    <row r="805" s="1" customFormat="1" ht="15.95" customHeight="1" x14ac:dyDescent="0.25"/>
    <row r="806" s="1" customFormat="1" ht="15.95" customHeight="1" x14ac:dyDescent="0.25"/>
    <row r="807" s="1" customFormat="1" ht="15.95" customHeight="1" x14ac:dyDescent="0.25"/>
    <row r="808" s="1" customFormat="1" ht="15.95" customHeight="1" x14ac:dyDescent="0.25"/>
    <row r="809" s="1" customFormat="1" ht="15.95" customHeight="1" x14ac:dyDescent="0.25"/>
    <row r="810" s="1" customFormat="1" ht="15.95" customHeight="1" x14ac:dyDescent="0.25"/>
    <row r="811" s="1" customFormat="1" ht="15.95" customHeight="1" x14ac:dyDescent="0.25"/>
    <row r="812" s="1" customFormat="1" ht="15.95" customHeight="1" x14ac:dyDescent="0.25"/>
    <row r="813" s="1" customFormat="1" ht="15.95" customHeight="1" x14ac:dyDescent="0.25"/>
    <row r="814" s="1" customFormat="1" ht="15.95" customHeight="1" x14ac:dyDescent="0.25"/>
    <row r="815" s="1" customFormat="1" ht="15.95" customHeight="1" x14ac:dyDescent="0.25"/>
    <row r="816" s="1" customFormat="1" ht="15.95" customHeight="1" x14ac:dyDescent="0.25"/>
    <row r="817" s="1" customFormat="1" ht="15.95" customHeight="1" x14ac:dyDescent="0.25"/>
    <row r="818" s="1" customFormat="1" ht="15.95" customHeight="1" x14ac:dyDescent="0.25"/>
    <row r="819" s="1" customFormat="1" ht="15.95" customHeight="1" x14ac:dyDescent="0.25"/>
    <row r="820" s="1" customFormat="1" ht="15.95" customHeight="1" x14ac:dyDescent="0.25"/>
    <row r="821" s="1" customFormat="1" ht="15.95" customHeight="1" x14ac:dyDescent="0.25"/>
    <row r="822" s="1" customFormat="1" ht="15.95" customHeight="1" x14ac:dyDescent="0.25"/>
    <row r="823" s="1" customFormat="1" ht="15.95" customHeight="1" x14ac:dyDescent="0.25"/>
    <row r="824" s="1" customFormat="1" ht="15.95" customHeight="1" x14ac:dyDescent="0.25"/>
    <row r="825" s="1" customFormat="1" ht="15.95" customHeight="1" x14ac:dyDescent="0.25"/>
    <row r="826" s="1" customFormat="1" ht="15.95" customHeight="1" x14ac:dyDescent="0.25"/>
    <row r="827" s="1" customFormat="1" ht="15.95" customHeight="1" x14ac:dyDescent="0.25"/>
    <row r="828" s="1" customFormat="1" ht="15.95" customHeight="1" x14ac:dyDescent="0.25"/>
    <row r="829" s="1" customFormat="1" ht="15.95" customHeight="1" x14ac:dyDescent="0.25"/>
    <row r="830" s="1" customFormat="1" ht="15.95" customHeight="1" x14ac:dyDescent="0.25"/>
    <row r="831" s="1" customFormat="1" ht="15.95" customHeight="1" x14ac:dyDescent="0.25"/>
    <row r="832" s="1" customFormat="1" ht="15.95" customHeight="1" x14ac:dyDescent="0.25"/>
    <row r="833" s="1" customFormat="1" ht="15.95" customHeight="1" x14ac:dyDescent="0.25"/>
    <row r="834" s="1" customFormat="1" ht="15.95" customHeight="1" x14ac:dyDescent="0.25"/>
    <row r="835" s="1" customFormat="1" ht="15.95" customHeight="1" x14ac:dyDescent="0.25"/>
    <row r="836" s="1" customFormat="1" ht="15.95" customHeight="1" x14ac:dyDescent="0.25"/>
    <row r="837" s="1" customFormat="1" ht="15.95" customHeight="1" x14ac:dyDescent="0.25"/>
    <row r="838" s="1" customFormat="1" ht="15.95" customHeight="1" x14ac:dyDescent="0.25"/>
    <row r="839" s="1" customFormat="1" ht="15.95" customHeight="1" x14ac:dyDescent="0.25"/>
    <row r="840" s="1" customFormat="1" ht="15.95" customHeight="1" x14ac:dyDescent="0.25"/>
    <row r="841" s="1" customFormat="1" ht="15.95" customHeight="1" x14ac:dyDescent="0.25"/>
    <row r="842" s="1" customFormat="1" ht="15.95" customHeight="1" x14ac:dyDescent="0.25"/>
    <row r="843" s="1" customFormat="1" ht="15.95" customHeight="1" x14ac:dyDescent="0.25"/>
    <row r="844" s="1" customFormat="1" ht="15.95" customHeight="1" x14ac:dyDescent="0.25"/>
    <row r="845" s="1" customFormat="1" ht="15.95" customHeight="1" x14ac:dyDescent="0.25"/>
    <row r="846" s="1" customFormat="1" ht="15.95" customHeight="1" x14ac:dyDescent="0.25"/>
    <row r="847" s="1" customFormat="1" ht="15.95" customHeight="1" x14ac:dyDescent="0.25"/>
    <row r="848" s="1" customFormat="1" ht="15.95" customHeight="1" x14ac:dyDescent="0.25"/>
    <row r="849" s="1" customFormat="1" ht="15.95" customHeight="1" x14ac:dyDescent="0.25"/>
    <row r="850" s="1" customFormat="1" ht="15.95" customHeight="1" x14ac:dyDescent="0.25"/>
    <row r="851" s="1" customFormat="1" ht="15.95" customHeight="1" x14ac:dyDescent="0.25"/>
    <row r="852" s="1" customFormat="1" ht="15.95" customHeight="1" x14ac:dyDescent="0.25"/>
    <row r="853" s="1" customFormat="1" ht="15.95" customHeight="1" x14ac:dyDescent="0.25"/>
    <row r="854" s="1" customFormat="1" ht="15.95" customHeight="1" x14ac:dyDescent="0.25"/>
    <row r="855" s="1" customFormat="1" ht="15.95" customHeight="1" x14ac:dyDescent="0.25"/>
    <row r="856" s="1" customFormat="1" ht="15.95" customHeight="1" x14ac:dyDescent="0.25"/>
    <row r="857" s="1" customFormat="1" ht="15.95" customHeight="1" x14ac:dyDescent="0.25"/>
    <row r="858" s="1" customFormat="1" ht="15.95" customHeight="1" x14ac:dyDescent="0.25"/>
    <row r="859" s="1" customFormat="1" ht="15.95" customHeight="1" x14ac:dyDescent="0.25"/>
    <row r="860" s="1" customFormat="1" ht="15.95" customHeight="1" x14ac:dyDescent="0.25"/>
    <row r="861" s="1" customFormat="1" ht="15.95" customHeight="1" x14ac:dyDescent="0.25"/>
    <row r="862" s="1" customFormat="1" ht="15.95" customHeight="1" x14ac:dyDescent="0.25"/>
    <row r="863" s="1" customFormat="1" ht="15.95" customHeight="1" x14ac:dyDescent="0.25"/>
    <row r="864" s="1" customFormat="1" ht="15.95" customHeight="1" x14ac:dyDescent="0.25"/>
    <row r="865" s="1" customFormat="1" ht="15.95" customHeight="1" x14ac:dyDescent="0.25"/>
    <row r="866" s="1" customFormat="1" ht="15.95" customHeight="1" x14ac:dyDescent="0.25"/>
    <row r="867" s="1" customFormat="1" ht="15.95" customHeight="1" x14ac:dyDescent="0.25"/>
    <row r="868" s="1" customFormat="1" ht="15.95" customHeight="1" x14ac:dyDescent="0.25"/>
    <row r="869" s="1" customFormat="1" ht="15.95" customHeight="1" x14ac:dyDescent="0.25"/>
    <row r="870" s="1" customFormat="1" ht="15.95" customHeight="1" x14ac:dyDescent="0.25"/>
    <row r="871" s="1" customFormat="1" ht="15.95" customHeight="1" x14ac:dyDescent="0.25"/>
    <row r="872" s="1" customFormat="1" ht="15.95" customHeight="1" x14ac:dyDescent="0.25"/>
    <row r="873" s="1" customFormat="1" ht="15.95" customHeight="1" x14ac:dyDescent="0.25"/>
    <row r="874" s="1" customFormat="1" ht="15.95" customHeight="1" x14ac:dyDescent="0.25"/>
    <row r="875" s="1" customFormat="1" ht="15.95" customHeight="1" x14ac:dyDescent="0.25"/>
    <row r="876" s="1" customFormat="1" ht="15.95" customHeight="1" x14ac:dyDescent="0.25"/>
    <row r="877" s="1" customFormat="1" ht="15.95" customHeight="1" x14ac:dyDescent="0.25"/>
    <row r="878" s="1" customFormat="1" ht="15.95" customHeight="1" x14ac:dyDescent="0.25"/>
    <row r="879" s="1" customFormat="1" ht="15.95" customHeight="1" x14ac:dyDescent="0.25"/>
    <row r="880" s="1" customFormat="1" ht="15.95" customHeight="1" x14ac:dyDescent="0.25"/>
    <row r="881" s="1" customFormat="1" ht="15.95" customHeight="1" x14ac:dyDescent="0.25"/>
    <row r="882" s="1" customFormat="1" ht="15.95" customHeight="1" x14ac:dyDescent="0.25"/>
    <row r="883" s="1" customFormat="1" ht="15.95" customHeight="1" x14ac:dyDescent="0.25"/>
    <row r="884" s="1" customFormat="1" ht="15.95" customHeight="1" x14ac:dyDescent="0.25"/>
    <row r="885" s="1" customFormat="1" ht="15.95" customHeight="1" x14ac:dyDescent="0.25"/>
    <row r="886" s="1" customFormat="1" ht="15.95" customHeight="1" x14ac:dyDescent="0.25"/>
    <row r="887" s="1" customFormat="1" ht="15.95" customHeight="1" x14ac:dyDescent="0.25"/>
    <row r="888" s="1" customFormat="1" ht="15.95" customHeight="1" x14ac:dyDescent="0.25"/>
    <row r="889" s="1" customFormat="1" ht="15.95" customHeight="1" x14ac:dyDescent="0.25"/>
    <row r="890" s="1" customFormat="1" ht="15.95" customHeight="1" x14ac:dyDescent="0.25"/>
    <row r="891" s="1" customFormat="1" ht="15.95" customHeight="1" x14ac:dyDescent="0.25"/>
    <row r="892" s="1" customFormat="1" ht="15.95" customHeight="1" x14ac:dyDescent="0.25"/>
    <row r="893" s="1" customFormat="1" ht="15.95" customHeight="1" x14ac:dyDescent="0.25"/>
    <row r="894" s="1" customFormat="1" ht="15.95" customHeight="1" x14ac:dyDescent="0.25"/>
    <row r="895" s="1" customFormat="1" ht="15.95" customHeight="1" x14ac:dyDescent="0.25"/>
    <row r="896" s="1" customFormat="1" ht="15.95" customHeight="1" x14ac:dyDescent="0.25"/>
    <row r="897" s="1" customFormat="1" ht="15.95" customHeight="1" x14ac:dyDescent="0.25"/>
    <row r="898" s="1" customFormat="1" ht="15.95" customHeight="1" x14ac:dyDescent="0.25"/>
    <row r="899" s="1" customFormat="1" ht="15.95" customHeight="1" x14ac:dyDescent="0.25"/>
    <row r="900" s="1" customFormat="1" ht="15.95" customHeight="1" x14ac:dyDescent="0.25"/>
    <row r="901" s="1" customFormat="1" ht="15.95" customHeight="1" x14ac:dyDescent="0.25"/>
    <row r="902" s="1" customFormat="1" ht="15.95" customHeight="1" x14ac:dyDescent="0.25"/>
    <row r="903" s="1" customFormat="1" ht="15.95" customHeight="1" x14ac:dyDescent="0.25"/>
    <row r="904" s="1" customFormat="1" ht="15.95" customHeight="1" x14ac:dyDescent="0.25"/>
    <row r="905" s="1" customFormat="1" ht="15.95" customHeight="1" x14ac:dyDescent="0.25"/>
    <row r="906" s="1" customFormat="1" ht="15.95" customHeight="1" x14ac:dyDescent="0.25"/>
    <row r="907" s="1" customFormat="1" ht="15.95" customHeight="1" x14ac:dyDescent="0.25"/>
    <row r="908" s="1" customFormat="1" ht="15.95" customHeight="1" x14ac:dyDescent="0.25"/>
    <row r="909" s="1" customFormat="1" ht="15.95" customHeight="1" x14ac:dyDescent="0.25"/>
    <row r="910" s="1" customFormat="1" ht="15.95" customHeight="1" x14ac:dyDescent="0.25"/>
    <row r="911" s="1" customFormat="1" ht="15.95" customHeight="1" x14ac:dyDescent="0.25"/>
    <row r="912" s="1" customFormat="1" ht="15.95" customHeight="1" x14ac:dyDescent="0.25"/>
    <row r="913" s="1" customFormat="1" ht="15.95" customHeight="1" x14ac:dyDescent="0.25"/>
    <row r="914" s="1" customFormat="1" ht="15.95" customHeight="1" x14ac:dyDescent="0.25"/>
    <row r="915" s="1" customFormat="1" ht="15.95" customHeight="1" x14ac:dyDescent="0.25"/>
    <row r="916" s="1" customFormat="1" ht="15.95" customHeight="1" x14ac:dyDescent="0.25"/>
    <row r="917" s="1" customFormat="1" ht="15.95" customHeight="1" x14ac:dyDescent="0.25"/>
    <row r="918" s="1" customFormat="1" ht="15.95" customHeight="1" x14ac:dyDescent="0.25"/>
    <row r="919" s="1" customFormat="1" ht="15.95" customHeight="1" x14ac:dyDescent="0.25"/>
    <row r="920" s="1" customFormat="1" ht="15.95" customHeight="1" x14ac:dyDescent="0.25"/>
    <row r="921" s="1" customFormat="1" ht="15.95" customHeight="1" x14ac:dyDescent="0.25"/>
    <row r="922" s="1" customFormat="1" ht="15.95" customHeight="1" x14ac:dyDescent="0.25"/>
    <row r="923" s="1" customFormat="1" ht="15.95" customHeight="1" x14ac:dyDescent="0.25"/>
    <row r="924" s="1" customFormat="1" ht="15.95" customHeight="1" x14ac:dyDescent="0.25"/>
    <row r="925" s="1" customFormat="1" ht="15.95" customHeight="1" x14ac:dyDescent="0.25"/>
    <row r="926" s="1" customFormat="1" ht="15.95" customHeight="1" x14ac:dyDescent="0.25"/>
    <row r="927" s="1" customFormat="1" ht="15.95" customHeight="1" x14ac:dyDescent="0.25"/>
    <row r="928" s="1" customFormat="1" ht="15.95" customHeight="1" x14ac:dyDescent="0.25"/>
    <row r="929" s="1" customFormat="1" ht="15.95" customHeight="1" x14ac:dyDescent="0.25"/>
    <row r="930" s="1" customFormat="1" ht="15.95" customHeight="1" x14ac:dyDescent="0.25"/>
    <row r="931" s="1" customFormat="1" ht="15.95" customHeight="1" x14ac:dyDescent="0.25"/>
    <row r="932" s="1" customFormat="1" ht="15.95" customHeight="1" x14ac:dyDescent="0.25"/>
    <row r="933" s="1" customFormat="1" ht="15.95" customHeight="1" x14ac:dyDescent="0.25"/>
    <row r="934" s="1" customFormat="1" ht="15.95" customHeight="1" x14ac:dyDescent="0.25"/>
    <row r="935" s="1" customFormat="1" ht="15.95" customHeight="1" x14ac:dyDescent="0.25"/>
    <row r="936" s="1" customFormat="1" ht="15.95" customHeight="1" x14ac:dyDescent="0.25"/>
    <row r="937" s="1" customFormat="1" ht="15.95" customHeight="1" x14ac:dyDescent="0.25"/>
    <row r="938" s="1" customFormat="1" ht="15.95" customHeight="1" x14ac:dyDescent="0.25"/>
    <row r="939" s="1" customFormat="1" ht="15.95" customHeight="1" x14ac:dyDescent="0.25"/>
    <row r="940" s="1" customFormat="1" ht="15.95" customHeight="1" x14ac:dyDescent="0.25"/>
    <row r="941" s="1" customFormat="1" ht="15.95" customHeight="1" x14ac:dyDescent="0.25"/>
    <row r="942" s="1" customFormat="1" ht="15.95" customHeight="1" x14ac:dyDescent="0.25"/>
    <row r="943" s="1" customFormat="1" ht="15.95" customHeight="1" x14ac:dyDescent="0.25"/>
    <row r="944" s="1" customFormat="1" ht="15.95" customHeight="1" x14ac:dyDescent="0.25"/>
    <row r="945" s="1" customFormat="1" ht="15.95" customHeight="1" x14ac:dyDescent="0.25"/>
    <row r="946" s="1" customFormat="1" ht="15.95" customHeight="1" x14ac:dyDescent="0.25"/>
    <row r="947" s="1" customFormat="1" ht="15.95" customHeight="1" x14ac:dyDescent="0.25"/>
    <row r="948" s="1" customFormat="1" ht="15.95" customHeight="1" x14ac:dyDescent="0.25"/>
    <row r="949" s="1" customFormat="1" ht="15.95" customHeight="1" x14ac:dyDescent="0.25"/>
    <row r="950" s="1" customFormat="1" ht="15.95" customHeight="1" x14ac:dyDescent="0.25"/>
    <row r="951" s="1" customFormat="1" ht="15.95" customHeight="1" x14ac:dyDescent="0.25"/>
    <row r="952" s="1" customFormat="1" ht="15.95" customHeight="1" x14ac:dyDescent="0.25"/>
    <row r="953" s="1" customFormat="1" ht="15.95" customHeight="1" x14ac:dyDescent="0.25"/>
    <row r="954" s="1" customFormat="1" ht="15.95" customHeight="1" x14ac:dyDescent="0.25"/>
    <row r="955" s="1" customFormat="1" ht="15.95" customHeight="1" x14ac:dyDescent="0.25"/>
    <row r="956" s="1" customFormat="1" ht="15.95" customHeight="1" x14ac:dyDescent="0.25"/>
    <row r="957" s="1" customFormat="1" ht="15.95" customHeight="1" x14ac:dyDescent="0.25"/>
    <row r="958" s="1" customFormat="1" ht="15.95" customHeight="1" x14ac:dyDescent="0.25"/>
    <row r="959" s="1" customFormat="1" ht="15.95" customHeight="1" x14ac:dyDescent="0.25"/>
    <row r="960" s="1" customFormat="1" ht="15.95" customHeight="1" x14ac:dyDescent="0.25"/>
    <row r="961" s="1" customFormat="1" ht="15.95" customHeight="1" x14ac:dyDescent="0.25"/>
    <row r="962" s="1" customFormat="1" ht="15.95" customHeight="1" x14ac:dyDescent="0.25"/>
    <row r="963" s="1" customFormat="1" ht="15.95" customHeight="1" x14ac:dyDescent="0.25"/>
    <row r="964" s="1" customFormat="1" ht="15.95" customHeight="1" x14ac:dyDescent="0.25"/>
    <row r="965" s="1" customFormat="1" ht="15.95" customHeight="1" x14ac:dyDescent="0.25"/>
    <row r="966" s="1" customFormat="1" ht="15.95" customHeight="1" x14ac:dyDescent="0.25"/>
    <row r="967" s="1" customFormat="1" ht="15.95" customHeight="1" x14ac:dyDescent="0.25"/>
    <row r="968" s="1" customFormat="1" ht="15.95" customHeight="1" x14ac:dyDescent="0.25"/>
    <row r="969" s="1" customFormat="1" ht="15.95" customHeight="1" x14ac:dyDescent="0.25"/>
    <row r="970" s="1" customFormat="1" ht="15.95" customHeight="1" x14ac:dyDescent="0.25"/>
    <row r="971" s="1" customFormat="1" ht="15.95" customHeight="1" x14ac:dyDescent="0.25"/>
    <row r="972" s="1" customFormat="1" ht="15.95" customHeight="1" x14ac:dyDescent="0.25"/>
    <row r="973" s="1" customFormat="1" ht="15.95" customHeight="1" x14ac:dyDescent="0.25"/>
    <row r="974" s="1" customFormat="1" ht="15.95" customHeight="1" x14ac:dyDescent="0.25"/>
    <row r="975" s="1" customFormat="1" ht="15.95" customHeight="1" x14ac:dyDescent="0.25"/>
    <row r="976" s="1" customFormat="1" ht="15.95" customHeight="1" x14ac:dyDescent="0.25"/>
    <row r="977" s="1" customFormat="1" ht="15.95" customHeight="1" x14ac:dyDescent="0.25"/>
    <row r="978" s="1" customFormat="1" ht="15.95" customHeight="1" x14ac:dyDescent="0.25"/>
    <row r="979" s="1" customFormat="1" ht="15.95" customHeight="1" x14ac:dyDescent="0.25"/>
    <row r="980" s="1" customFormat="1" ht="15.95" customHeight="1" x14ac:dyDescent="0.25"/>
    <row r="981" s="1" customFormat="1" ht="15.95" customHeight="1" x14ac:dyDescent="0.25"/>
    <row r="982" s="1" customFormat="1" ht="15.95" customHeight="1" x14ac:dyDescent="0.25"/>
    <row r="983" s="1" customFormat="1" ht="15.95" customHeight="1" x14ac:dyDescent="0.25"/>
    <row r="984" s="1" customFormat="1" ht="15.95" customHeight="1" x14ac:dyDescent="0.25"/>
    <row r="985" s="1" customFormat="1" ht="15.95" customHeight="1" x14ac:dyDescent="0.25"/>
    <row r="986" s="1" customFormat="1" ht="15.95" customHeight="1" x14ac:dyDescent="0.25"/>
    <row r="987" s="1" customFormat="1" ht="15.95" customHeight="1" x14ac:dyDescent="0.25"/>
    <row r="988" s="1" customFormat="1" ht="15.95" customHeight="1" x14ac:dyDescent="0.25"/>
    <row r="989" s="1" customFormat="1" ht="15.95" customHeight="1" x14ac:dyDescent="0.25"/>
    <row r="990" s="1" customFormat="1" ht="15.95" customHeight="1" x14ac:dyDescent="0.25"/>
    <row r="991" s="1" customFormat="1" ht="15.95" customHeight="1" x14ac:dyDescent="0.25"/>
    <row r="992" s="1" customFormat="1" ht="15.95" customHeight="1" x14ac:dyDescent="0.25"/>
    <row r="993" s="1" customFormat="1" ht="15.95" customHeight="1" x14ac:dyDescent="0.25"/>
    <row r="994" s="1" customFormat="1" ht="15.95" customHeight="1" x14ac:dyDescent="0.25"/>
    <row r="995" s="1" customFormat="1" ht="15.95" customHeight="1" x14ac:dyDescent="0.25"/>
    <row r="996" s="1" customFormat="1" ht="15.95" customHeight="1" x14ac:dyDescent="0.25"/>
    <row r="997" s="1" customFormat="1" ht="15.95" customHeight="1" x14ac:dyDescent="0.25"/>
    <row r="998" s="1" customFormat="1" ht="15.95" customHeight="1" x14ac:dyDescent="0.25"/>
    <row r="999" s="1" customFormat="1" ht="15.95" customHeight="1" x14ac:dyDescent="0.25"/>
    <row r="1000" s="1" customFormat="1" ht="15.95" customHeight="1" x14ac:dyDescent="0.25"/>
    <row r="1001" s="1" customFormat="1" ht="15.95" customHeight="1" x14ac:dyDescent="0.25"/>
    <row r="1002" s="1" customFormat="1" ht="15.95" customHeight="1" x14ac:dyDescent="0.25"/>
    <row r="1003" s="1" customFormat="1" ht="15.95" customHeight="1" x14ac:dyDescent="0.25"/>
    <row r="1004" s="1" customFormat="1" ht="15.95" customHeight="1" x14ac:dyDescent="0.25"/>
    <row r="1005" s="1" customFormat="1" ht="15.95" customHeight="1" x14ac:dyDescent="0.25"/>
    <row r="1006" s="1" customFormat="1" ht="15.95" customHeight="1" x14ac:dyDescent="0.25"/>
    <row r="1007" s="1" customFormat="1" ht="15.95" customHeight="1" x14ac:dyDescent="0.25"/>
    <row r="1008" s="1" customFormat="1" ht="15.95" customHeight="1" x14ac:dyDescent="0.25"/>
    <row r="1009" s="1" customFormat="1" ht="15.95" customHeight="1" x14ac:dyDescent="0.25"/>
    <row r="1010" s="1" customFormat="1" ht="15.95" customHeight="1" x14ac:dyDescent="0.25"/>
    <row r="1011" s="1" customFormat="1" ht="15.95" customHeight="1" x14ac:dyDescent="0.25"/>
    <row r="1012" s="1" customFormat="1" ht="15.95" customHeight="1" x14ac:dyDescent="0.25"/>
    <row r="1013" s="1" customFormat="1" ht="15.95" customHeight="1" x14ac:dyDescent="0.25"/>
    <row r="1014" s="1" customFormat="1" ht="15.95" customHeight="1" x14ac:dyDescent="0.25"/>
    <row r="1015" s="1" customFormat="1" ht="15.95" customHeight="1" x14ac:dyDescent="0.25"/>
    <row r="1016" s="1" customFormat="1" ht="15.95" customHeight="1" x14ac:dyDescent="0.25"/>
    <row r="1017" s="1" customFormat="1" ht="15.95" customHeight="1" x14ac:dyDescent="0.25"/>
    <row r="1018" s="1" customFormat="1" ht="15.95" customHeight="1" x14ac:dyDescent="0.25"/>
    <row r="1019" s="1" customFormat="1" ht="15.95" customHeight="1" x14ac:dyDescent="0.25"/>
    <row r="1020" s="1" customFormat="1" ht="15.95" customHeight="1" x14ac:dyDescent="0.25"/>
    <row r="1021" s="1" customFormat="1" ht="15.95" customHeight="1" x14ac:dyDescent="0.25"/>
    <row r="1022" s="1" customFormat="1" ht="15.95" customHeight="1" x14ac:dyDescent="0.25"/>
    <row r="1023" s="1" customFormat="1" ht="15.95" customHeight="1" x14ac:dyDescent="0.25"/>
    <row r="1024" s="1" customFormat="1" ht="15.95" customHeight="1" x14ac:dyDescent="0.25"/>
    <row r="1025" s="1" customFormat="1" ht="15.95" customHeight="1" x14ac:dyDescent="0.25"/>
    <row r="1026" s="1" customFormat="1" ht="15.95" customHeight="1" x14ac:dyDescent="0.25"/>
    <row r="1027" s="1" customFormat="1" ht="15.95" customHeight="1" x14ac:dyDescent="0.25"/>
    <row r="1028" s="1" customFormat="1" ht="15.95" customHeight="1" x14ac:dyDescent="0.25"/>
    <row r="1029" s="1" customFormat="1" ht="15.95" customHeight="1" x14ac:dyDescent="0.25"/>
    <row r="1030" s="1" customFormat="1" ht="15.95" customHeight="1" x14ac:dyDescent="0.25"/>
    <row r="1031" s="1" customFormat="1" ht="15.95" customHeight="1" x14ac:dyDescent="0.25"/>
    <row r="1032" s="1" customFormat="1" ht="15.95" customHeight="1" x14ac:dyDescent="0.25"/>
    <row r="1033" s="1" customFormat="1" ht="15.95" customHeight="1" x14ac:dyDescent="0.25"/>
    <row r="1034" s="1" customFormat="1" ht="15.95" customHeight="1" x14ac:dyDescent="0.25"/>
    <row r="1035" s="1" customFormat="1" ht="15.95" customHeight="1" x14ac:dyDescent="0.25"/>
    <row r="1036" s="1" customFormat="1" ht="15.95" customHeight="1" x14ac:dyDescent="0.25"/>
    <row r="1037" s="1" customFormat="1" ht="15.95" customHeight="1" x14ac:dyDescent="0.25"/>
    <row r="1038" s="1" customFormat="1" ht="15.95" customHeight="1" x14ac:dyDescent="0.25"/>
    <row r="1039" s="1" customFormat="1" ht="15.95" customHeight="1" x14ac:dyDescent="0.25"/>
    <row r="1040" s="1" customFormat="1" ht="15.95" customHeight="1" x14ac:dyDescent="0.25"/>
    <row r="1041" s="1" customFormat="1" ht="15.95" customHeight="1" x14ac:dyDescent="0.25"/>
    <row r="1042" s="1" customFormat="1" ht="15.95" customHeight="1" x14ac:dyDescent="0.25"/>
    <row r="1043" s="1" customFormat="1" ht="15.95" customHeight="1" x14ac:dyDescent="0.25"/>
    <row r="1044" s="1" customFormat="1" ht="15.95" customHeight="1" x14ac:dyDescent="0.25"/>
    <row r="1045" s="1" customFormat="1" ht="15.95" customHeight="1" x14ac:dyDescent="0.25"/>
    <row r="1046" s="1" customFormat="1" ht="15.95" customHeight="1" x14ac:dyDescent="0.25"/>
    <row r="1047" s="1" customFormat="1" ht="15.95" customHeight="1" x14ac:dyDescent="0.25"/>
    <row r="1048" s="1" customFormat="1" ht="15.95" customHeight="1" x14ac:dyDescent="0.25"/>
    <row r="1049" s="1" customFormat="1" ht="15.95" customHeight="1" x14ac:dyDescent="0.25"/>
    <row r="1050" s="1" customFormat="1" ht="15.95" customHeight="1" x14ac:dyDescent="0.25"/>
    <row r="1051" s="1" customFormat="1" ht="15.95" customHeight="1" x14ac:dyDescent="0.25"/>
    <row r="1052" s="1" customFormat="1" ht="15.95" customHeight="1" x14ac:dyDescent="0.25"/>
    <row r="1053" s="1" customFormat="1" ht="15.95" customHeight="1" x14ac:dyDescent="0.25"/>
    <row r="1054" s="1" customFormat="1" ht="15.95" customHeight="1" x14ac:dyDescent="0.25"/>
    <row r="1055" s="1" customFormat="1" ht="15.95" customHeight="1" x14ac:dyDescent="0.25"/>
    <row r="1056" s="1" customFormat="1" ht="15.95" customHeight="1" x14ac:dyDescent="0.25"/>
    <row r="1057" s="1" customFormat="1" ht="15.95" customHeight="1" x14ac:dyDescent="0.25"/>
    <row r="1058" s="1" customFormat="1" ht="15.95" customHeight="1" x14ac:dyDescent="0.25"/>
    <row r="1059" s="1" customFormat="1" ht="15.95" customHeight="1" x14ac:dyDescent="0.25"/>
    <row r="1060" s="1" customFormat="1" ht="15.95" customHeight="1" x14ac:dyDescent="0.25"/>
    <row r="1061" s="1" customFormat="1" ht="15.95" customHeight="1" x14ac:dyDescent="0.25"/>
    <row r="1062" s="1" customFormat="1" ht="15.95" customHeight="1" x14ac:dyDescent="0.25"/>
    <row r="1063" s="1" customFormat="1" ht="15.95" customHeight="1" x14ac:dyDescent="0.25"/>
    <row r="1064" s="1" customFormat="1" ht="15.95" customHeight="1" x14ac:dyDescent="0.25"/>
    <row r="1065" s="1" customFormat="1" ht="15.95" customHeight="1" x14ac:dyDescent="0.25"/>
    <row r="1066" s="1" customFormat="1" ht="15.95" customHeight="1" x14ac:dyDescent="0.25"/>
    <row r="1067" s="1" customFormat="1" ht="15.95" customHeight="1" x14ac:dyDescent="0.25"/>
    <row r="1068" s="1" customFormat="1" ht="15.95" customHeight="1" x14ac:dyDescent="0.25"/>
    <row r="1069" s="1" customFormat="1" ht="15.95" customHeight="1" x14ac:dyDescent="0.25"/>
    <row r="1070" s="1" customFormat="1" ht="15.95" customHeight="1" x14ac:dyDescent="0.25"/>
    <row r="1071" s="1" customFormat="1" ht="15.95" customHeight="1" x14ac:dyDescent="0.25"/>
    <row r="1072" s="1" customFormat="1" ht="15.95" customHeight="1" x14ac:dyDescent="0.25"/>
    <row r="1073" s="1" customFormat="1" ht="15.95" customHeight="1" x14ac:dyDescent="0.25"/>
    <row r="1074" s="1" customFormat="1" ht="15.95" customHeight="1" x14ac:dyDescent="0.25"/>
    <row r="1075" s="1" customFormat="1" ht="15.95" customHeight="1" x14ac:dyDescent="0.25"/>
    <row r="1076" s="1" customFormat="1" ht="15.95" customHeight="1" x14ac:dyDescent="0.25"/>
    <row r="1077" s="1" customFormat="1" ht="15.95" customHeight="1" x14ac:dyDescent="0.25"/>
    <row r="1078" s="1" customFormat="1" ht="15.95" customHeight="1" x14ac:dyDescent="0.25"/>
    <row r="1079" s="1" customFormat="1" ht="15.95" customHeight="1" x14ac:dyDescent="0.25"/>
    <row r="1080" s="1" customFormat="1" ht="15.95" customHeight="1" x14ac:dyDescent="0.25"/>
    <row r="1081" s="1" customFormat="1" ht="15.95" customHeight="1" x14ac:dyDescent="0.25"/>
    <row r="1082" s="1" customFormat="1" ht="15.95" customHeight="1" x14ac:dyDescent="0.25"/>
    <row r="1083" s="1" customFormat="1" ht="15.95" customHeight="1" x14ac:dyDescent="0.25"/>
    <row r="1084" s="1" customFormat="1" ht="15.95" customHeight="1" x14ac:dyDescent="0.25"/>
    <row r="1085" s="1" customFormat="1" ht="15.95" customHeight="1" x14ac:dyDescent="0.25"/>
    <row r="1086" s="1" customFormat="1" ht="15.95" customHeight="1" x14ac:dyDescent="0.25"/>
    <row r="1087" s="1" customFormat="1" ht="15.95" customHeight="1" x14ac:dyDescent="0.25"/>
    <row r="1088" s="1" customFormat="1" ht="15.95" customHeight="1" x14ac:dyDescent="0.25"/>
    <row r="1089" s="1" customFormat="1" ht="15.95" customHeight="1" x14ac:dyDescent="0.25"/>
    <row r="1090" s="1" customFormat="1" ht="15.95" customHeight="1" x14ac:dyDescent="0.25"/>
    <row r="1091" s="1" customFormat="1" ht="15.95" customHeight="1" x14ac:dyDescent="0.25"/>
    <row r="1092" s="1" customFormat="1" ht="15.95" customHeight="1" x14ac:dyDescent="0.25"/>
    <row r="1093" s="1" customFormat="1" ht="15.95" customHeight="1" x14ac:dyDescent="0.25"/>
    <row r="1094" s="1" customFormat="1" ht="15.95" customHeight="1" x14ac:dyDescent="0.25"/>
    <row r="1095" s="1" customFormat="1" ht="15.95" customHeight="1" x14ac:dyDescent="0.25"/>
    <row r="1096" s="1" customFormat="1" ht="15.95" customHeight="1" x14ac:dyDescent="0.25"/>
    <row r="1097" s="1" customFormat="1" ht="15.95" customHeight="1" x14ac:dyDescent="0.25"/>
    <row r="1098" s="1" customFormat="1" ht="15.95" customHeight="1" x14ac:dyDescent="0.25"/>
    <row r="1099" s="1" customFormat="1" ht="15.95" customHeight="1" x14ac:dyDescent="0.25"/>
    <row r="1100" s="1" customFormat="1" ht="15.95" customHeight="1" x14ac:dyDescent="0.25"/>
    <row r="1101" s="1" customFormat="1" ht="15.95" customHeight="1" x14ac:dyDescent="0.25"/>
    <row r="1102" s="1" customFormat="1" ht="15.95" customHeight="1" x14ac:dyDescent="0.25"/>
    <row r="1103" s="1" customFormat="1" ht="15.95" customHeight="1" x14ac:dyDescent="0.25"/>
    <row r="1104" s="1" customFormat="1" ht="15.95" customHeight="1" x14ac:dyDescent="0.25"/>
    <row r="1105" s="1" customFormat="1" ht="15.95" customHeight="1" x14ac:dyDescent="0.25"/>
    <row r="1106" s="1" customFormat="1" ht="15.95" customHeight="1" x14ac:dyDescent="0.25"/>
    <row r="1107" s="1" customFormat="1" ht="15.95" customHeight="1" x14ac:dyDescent="0.25"/>
    <row r="1108" s="1" customFormat="1" ht="15.95" customHeight="1" x14ac:dyDescent="0.25"/>
    <row r="1109" s="1" customFormat="1" ht="15.95" customHeight="1" x14ac:dyDescent="0.25"/>
    <row r="1110" s="1" customFormat="1" ht="15.95" customHeight="1" x14ac:dyDescent="0.25"/>
    <row r="1111" s="1" customFormat="1" ht="15.95" customHeight="1" x14ac:dyDescent="0.25"/>
    <row r="1112" s="1" customFormat="1" ht="15.95" customHeight="1" x14ac:dyDescent="0.25"/>
    <row r="1113" s="1" customFormat="1" ht="15.95" customHeight="1" x14ac:dyDescent="0.25"/>
    <row r="1114" s="1" customFormat="1" ht="15.95" customHeight="1" x14ac:dyDescent="0.25"/>
    <row r="1115" s="1" customFormat="1" ht="15.95" customHeight="1" x14ac:dyDescent="0.25"/>
    <row r="1116" s="1" customFormat="1" ht="15.95" customHeight="1" x14ac:dyDescent="0.25"/>
    <row r="1117" s="1" customFormat="1" ht="15.95" customHeight="1" x14ac:dyDescent="0.25"/>
    <row r="1118" s="1" customFormat="1" ht="15.95" customHeight="1" x14ac:dyDescent="0.25"/>
    <row r="1119" s="1" customFormat="1" ht="15.95" customHeight="1" x14ac:dyDescent="0.25"/>
    <row r="1120" s="1" customFormat="1" ht="15.95" customHeight="1" x14ac:dyDescent="0.25"/>
    <row r="1121" s="1" customFormat="1" ht="15.95" customHeight="1" x14ac:dyDescent="0.25"/>
    <row r="1122" s="1" customFormat="1" ht="15.95" customHeight="1" x14ac:dyDescent="0.25"/>
    <row r="1123" s="1" customFormat="1" ht="15.95" customHeight="1" x14ac:dyDescent="0.25"/>
    <row r="1124" s="1" customFormat="1" ht="15.95" customHeight="1" x14ac:dyDescent="0.25"/>
    <row r="1125" s="1" customFormat="1" ht="15.95" customHeight="1" x14ac:dyDescent="0.25"/>
    <row r="1126" s="1" customFormat="1" ht="15.95" customHeight="1" x14ac:dyDescent="0.25"/>
    <row r="1127" s="1" customFormat="1" ht="15.95" customHeight="1" x14ac:dyDescent="0.25"/>
    <row r="1128" s="1" customFormat="1" ht="15.95" customHeight="1" x14ac:dyDescent="0.25"/>
    <row r="1129" s="1" customFormat="1" ht="15.95" customHeight="1" x14ac:dyDescent="0.25"/>
    <row r="1130" s="1" customFormat="1" ht="15.95" customHeight="1" x14ac:dyDescent="0.25"/>
    <row r="1131" s="1" customFormat="1" ht="15.95" customHeight="1" x14ac:dyDescent="0.25"/>
    <row r="1132" s="1" customFormat="1" ht="15.95" customHeight="1" x14ac:dyDescent="0.25"/>
    <row r="1133" s="1" customFormat="1" ht="15.95" customHeight="1" x14ac:dyDescent="0.25"/>
    <row r="1134" s="1" customFormat="1" ht="15.95" customHeight="1" x14ac:dyDescent="0.25"/>
    <row r="1135" s="1" customFormat="1" ht="15.95" customHeight="1" x14ac:dyDescent="0.25"/>
    <row r="1136" s="1" customFormat="1" ht="15.95" customHeight="1" x14ac:dyDescent="0.25"/>
    <row r="1137" s="1" customFormat="1" ht="15.95" customHeight="1" x14ac:dyDescent="0.25"/>
    <row r="1138" s="1" customFormat="1" ht="15.95" customHeight="1" x14ac:dyDescent="0.25"/>
    <row r="1139" s="1" customFormat="1" ht="15.95" customHeight="1" x14ac:dyDescent="0.25"/>
    <row r="1140" s="1" customFormat="1" ht="15.95" customHeight="1" x14ac:dyDescent="0.25"/>
    <row r="1141" s="1" customFormat="1" ht="15.95" customHeight="1" x14ac:dyDescent="0.25"/>
    <row r="1142" s="1" customFormat="1" ht="15.95" customHeight="1" x14ac:dyDescent="0.25"/>
    <row r="1143" s="1" customFormat="1" ht="15.95" customHeight="1" x14ac:dyDescent="0.25"/>
    <row r="1144" s="1" customFormat="1" ht="15.95" customHeight="1" x14ac:dyDescent="0.25"/>
    <row r="1145" s="1" customFormat="1" ht="15.95" customHeight="1" x14ac:dyDescent="0.25"/>
    <row r="1146" s="1" customFormat="1" ht="15.95" customHeight="1" x14ac:dyDescent="0.25"/>
    <row r="1147" s="1" customFormat="1" ht="15.95" customHeight="1" x14ac:dyDescent="0.25"/>
    <row r="1148" s="1" customFormat="1" ht="15.95" customHeight="1" x14ac:dyDescent="0.25"/>
    <row r="1149" s="1" customFormat="1" ht="15.95" customHeight="1" x14ac:dyDescent="0.25"/>
    <row r="1150" s="1" customFormat="1" ht="15.95" customHeight="1" x14ac:dyDescent="0.25"/>
    <row r="1151" s="1" customFormat="1" ht="15.95" customHeight="1" x14ac:dyDescent="0.25"/>
    <row r="1152" s="1" customFormat="1" ht="15.95" customHeight="1" x14ac:dyDescent="0.25"/>
    <row r="1153" s="1" customFormat="1" ht="15.95" customHeight="1" x14ac:dyDescent="0.25"/>
    <row r="1154" s="1" customFormat="1" ht="15.95" customHeight="1" x14ac:dyDescent="0.25"/>
    <row r="1155" s="1" customFormat="1" ht="15.95" customHeight="1" x14ac:dyDescent="0.25"/>
    <row r="1156" s="1" customFormat="1" ht="15.95" customHeight="1" x14ac:dyDescent="0.25"/>
    <row r="1157" s="1" customFormat="1" ht="15.95" customHeight="1" x14ac:dyDescent="0.25"/>
    <row r="1158" s="1" customFormat="1" ht="15.95" customHeight="1" x14ac:dyDescent="0.25"/>
    <row r="1159" s="1" customFormat="1" ht="15.95" customHeight="1" x14ac:dyDescent="0.25"/>
    <row r="1160" s="1" customFormat="1" ht="15.95" customHeight="1" x14ac:dyDescent="0.25"/>
    <row r="1161" s="1" customFormat="1" ht="15.95" customHeight="1" x14ac:dyDescent="0.25"/>
    <row r="1162" s="1" customFormat="1" ht="15.95" customHeight="1" x14ac:dyDescent="0.25"/>
    <row r="1163" s="1" customFormat="1" ht="15.95" customHeight="1" x14ac:dyDescent="0.25"/>
    <row r="1164" s="1" customFormat="1" ht="15.95" customHeight="1" x14ac:dyDescent="0.25"/>
    <row r="1165" s="1" customFormat="1" ht="15.95" customHeight="1" x14ac:dyDescent="0.25"/>
    <row r="1166" s="1" customFormat="1" ht="15.95" customHeight="1" x14ac:dyDescent="0.25"/>
    <row r="1167" s="1" customFormat="1" ht="15.95" customHeight="1" x14ac:dyDescent="0.25"/>
    <row r="1168" s="1" customFormat="1" ht="15.95" customHeight="1" x14ac:dyDescent="0.25"/>
    <row r="1169" s="1" customFormat="1" ht="15.95" customHeight="1" x14ac:dyDescent="0.25"/>
    <row r="1170" s="1" customFormat="1" ht="15.95" customHeight="1" x14ac:dyDescent="0.25"/>
    <row r="1171" s="1" customFormat="1" ht="15.95" customHeight="1" x14ac:dyDescent="0.25"/>
    <row r="1172" s="1" customFormat="1" ht="15.95" customHeight="1" x14ac:dyDescent="0.25"/>
    <row r="1173" s="1" customFormat="1" ht="15.95" customHeight="1" x14ac:dyDescent="0.25"/>
    <row r="1174" s="1" customFormat="1" ht="15.95" customHeight="1" x14ac:dyDescent="0.25"/>
    <row r="1175" s="1" customFormat="1" ht="15.95" customHeight="1" x14ac:dyDescent="0.25"/>
    <row r="1176" s="1" customFormat="1" ht="15.95" customHeight="1" x14ac:dyDescent="0.25"/>
    <row r="1177" s="1" customFormat="1" ht="15.95" customHeight="1" x14ac:dyDescent="0.25"/>
    <row r="1178" s="1" customFormat="1" ht="15.95" customHeight="1" x14ac:dyDescent="0.25"/>
    <row r="1179" s="1" customFormat="1" ht="15.95" customHeight="1" x14ac:dyDescent="0.25"/>
    <row r="1180" s="1" customFormat="1" ht="15.95" customHeight="1" x14ac:dyDescent="0.25"/>
    <row r="1181" s="1" customFormat="1" ht="15.95" customHeight="1" x14ac:dyDescent="0.25"/>
    <row r="1182" s="1" customFormat="1" ht="15.95" customHeight="1" x14ac:dyDescent="0.25"/>
    <row r="1183" s="1" customFormat="1" ht="15.95" customHeight="1" x14ac:dyDescent="0.25"/>
    <row r="1184" s="1" customFormat="1" ht="15.95" customHeight="1" x14ac:dyDescent="0.25"/>
    <row r="1185" s="1" customFormat="1" ht="15.95" customHeight="1" x14ac:dyDescent="0.25"/>
    <row r="1186" s="1" customFormat="1" ht="15.95" customHeight="1" x14ac:dyDescent="0.25"/>
    <row r="1187" s="1" customFormat="1" ht="15.95" customHeight="1" x14ac:dyDescent="0.25"/>
    <row r="1188" s="1" customFormat="1" ht="15.95" customHeight="1" x14ac:dyDescent="0.25"/>
    <row r="1189" s="1" customFormat="1" ht="15.95" customHeight="1" x14ac:dyDescent="0.25"/>
    <row r="1190" s="1" customFormat="1" ht="15.95" customHeight="1" x14ac:dyDescent="0.25"/>
    <row r="1191" s="1" customFormat="1" ht="15.95" customHeight="1" x14ac:dyDescent="0.25"/>
    <row r="1192" s="1" customFormat="1" ht="15.95" customHeight="1" x14ac:dyDescent="0.25"/>
    <row r="1193" s="1" customFormat="1" ht="15.95" customHeight="1" x14ac:dyDescent="0.25"/>
    <row r="1194" s="1" customFormat="1" ht="15.95" customHeight="1" x14ac:dyDescent="0.25"/>
    <row r="1195" s="1" customFormat="1" ht="15.95" customHeight="1" x14ac:dyDescent="0.25"/>
    <row r="1196" s="1" customFormat="1" ht="15.95" customHeight="1" x14ac:dyDescent="0.25"/>
    <row r="1197" s="1" customFormat="1" ht="15.95" customHeight="1" x14ac:dyDescent="0.25"/>
    <row r="1198" s="1" customFormat="1" ht="15.95" customHeight="1" x14ac:dyDescent="0.25"/>
    <row r="1199" s="1" customFormat="1" ht="15.95" customHeight="1" x14ac:dyDescent="0.25"/>
    <row r="1200" s="1" customFormat="1" ht="15.95" customHeight="1" x14ac:dyDescent="0.25"/>
    <row r="1201" s="1" customFormat="1" ht="15.95" customHeight="1" x14ac:dyDescent="0.25"/>
    <row r="1202" s="1" customFormat="1" ht="15.95" customHeight="1" x14ac:dyDescent="0.25"/>
    <row r="1203" s="1" customFormat="1" ht="15.95" customHeight="1" x14ac:dyDescent="0.25"/>
    <row r="1204" s="1" customFormat="1" ht="15.95" customHeight="1" x14ac:dyDescent="0.25"/>
    <row r="1205" s="1" customFormat="1" ht="15.95" customHeight="1" x14ac:dyDescent="0.25"/>
    <row r="1206" s="1" customFormat="1" ht="15.95" customHeight="1" x14ac:dyDescent="0.25"/>
    <row r="1207" s="1" customFormat="1" ht="15.95" customHeight="1" x14ac:dyDescent="0.25"/>
    <row r="1208" s="1" customFormat="1" ht="15.95" customHeight="1" x14ac:dyDescent="0.25"/>
    <row r="1209" s="1" customFormat="1" ht="15.95" customHeight="1" x14ac:dyDescent="0.25"/>
    <row r="1210" s="1" customFormat="1" ht="15.95" customHeight="1" x14ac:dyDescent="0.25"/>
    <row r="1211" s="1" customFormat="1" ht="15.95" customHeight="1" x14ac:dyDescent="0.25"/>
    <row r="1212" s="1" customFormat="1" ht="15.95" customHeight="1" x14ac:dyDescent="0.25"/>
    <row r="1213" s="1" customFormat="1" ht="15.95" customHeight="1" x14ac:dyDescent="0.25"/>
    <row r="1214" s="1" customFormat="1" ht="15.95" customHeight="1" x14ac:dyDescent="0.25"/>
    <row r="1215" s="1" customFormat="1" ht="15.95" customHeight="1" x14ac:dyDescent="0.25"/>
    <row r="1216" s="1" customFormat="1" ht="15.95" customHeight="1" x14ac:dyDescent="0.25"/>
    <row r="1217" s="1" customFormat="1" ht="15.95" customHeight="1" x14ac:dyDescent="0.25"/>
    <row r="1218" s="1" customFormat="1" ht="15.95" customHeight="1" x14ac:dyDescent="0.25"/>
    <row r="1219" s="1" customFormat="1" ht="15.95" customHeight="1" x14ac:dyDescent="0.25"/>
    <row r="1220" s="1" customFormat="1" ht="15.95" customHeight="1" x14ac:dyDescent="0.25"/>
    <row r="1221" s="1" customFormat="1" ht="15.95" customHeight="1" x14ac:dyDescent="0.25"/>
    <row r="1222" s="1" customFormat="1" ht="15.95" customHeight="1" x14ac:dyDescent="0.25"/>
    <row r="1223" s="1" customFormat="1" ht="15.95" customHeight="1" x14ac:dyDescent="0.25"/>
    <row r="1224" s="1" customFormat="1" ht="15.95" customHeight="1" x14ac:dyDescent="0.25"/>
    <row r="1225" s="1" customFormat="1" ht="15.95" customHeight="1" x14ac:dyDescent="0.25"/>
    <row r="1226" s="1" customFormat="1" ht="15.95" customHeight="1" x14ac:dyDescent="0.25"/>
    <row r="1227" s="1" customFormat="1" ht="15.95" customHeight="1" x14ac:dyDescent="0.25"/>
    <row r="1228" s="1" customFormat="1" ht="15.95" customHeight="1" x14ac:dyDescent="0.25"/>
    <row r="1229" s="1" customFormat="1" ht="15.95" customHeight="1" x14ac:dyDescent="0.25"/>
    <row r="1230" s="1" customFormat="1" ht="15.95" customHeight="1" x14ac:dyDescent="0.25"/>
    <row r="1231" s="1" customFormat="1" ht="15.95" customHeight="1" x14ac:dyDescent="0.25"/>
    <row r="1232" s="1" customFormat="1" ht="15.95" customHeight="1" x14ac:dyDescent="0.25"/>
    <row r="1233" s="1" customFormat="1" ht="15.95" customHeight="1" x14ac:dyDescent="0.25"/>
    <row r="1234" s="1" customFormat="1" ht="15.95" customHeight="1" x14ac:dyDescent="0.25"/>
    <row r="1235" s="1" customFormat="1" ht="15.95" customHeight="1" x14ac:dyDescent="0.25"/>
    <row r="1236" s="1" customFormat="1" ht="15.95" customHeight="1" x14ac:dyDescent="0.25"/>
    <row r="1237" s="1" customFormat="1" ht="15.95" customHeight="1" x14ac:dyDescent="0.25"/>
    <row r="1238" s="1" customFormat="1" ht="15.95" customHeight="1" x14ac:dyDescent="0.25"/>
    <row r="1239" s="1" customFormat="1" ht="15.95" customHeight="1" x14ac:dyDescent="0.25"/>
    <row r="1240" s="1" customFormat="1" ht="15.95" customHeight="1" x14ac:dyDescent="0.25"/>
    <row r="1241" s="1" customFormat="1" ht="15.95" customHeight="1" x14ac:dyDescent="0.25"/>
    <row r="1242" s="1" customFormat="1" ht="15.95" customHeight="1" x14ac:dyDescent="0.25"/>
    <row r="1243" s="1" customFormat="1" ht="15.95" customHeight="1" x14ac:dyDescent="0.25"/>
    <row r="1244" s="1" customFormat="1" ht="15.95" customHeight="1" x14ac:dyDescent="0.25"/>
    <row r="1245" s="1" customFormat="1" ht="15.95" customHeight="1" x14ac:dyDescent="0.25"/>
    <row r="1246" s="1" customFormat="1" ht="15.95" customHeight="1" x14ac:dyDescent="0.25"/>
    <row r="1247" s="1" customFormat="1" ht="15.95" customHeight="1" x14ac:dyDescent="0.25"/>
    <row r="1248" s="1" customFormat="1" ht="15.95" customHeight="1" x14ac:dyDescent="0.25"/>
    <row r="1249" s="1" customFormat="1" ht="15.95" customHeight="1" x14ac:dyDescent="0.25"/>
    <row r="1250" s="1" customFormat="1" ht="15.95" customHeight="1" x14ac:dyDescent="0.25"/>
    <row r="1251" s="1" customFormat="1" ht="15.95" customHeight="1" x14ac:dyDescent="0.25"/>
    <row r="1252" s="1" customFormat="1" ht="15.95" customHeight="1" x14ac:dyDescent="0.25"/>
    <row r="1253" s="1" customFormat="1" ht="15.95" customHeight="1" x14ac:dyDescent="0.25"/>
    <row r="1254" s="1" customFormat="1" ht="15.95" customHeight="1" x14ac:dyDescent="0.25"/>
    <row r="1255" s="1" customFormat="1" ht="15.95" customHeight="1" x14ac:dyDescent="0.25"/>
    <row r="1256" s="1" customFormat="1" ht="15.95" customHeight="1" x14ac:dyDescent="0.25"/>
    <row r="1257" s="1" customFormat="1" ht="15.95" customHeight="1" x14ac:dyDescent="0.25"/>
    <row r="1258" s="1" customFormat="1" ht="15.95" customHeight="1" x14ac:dyDescent="0.25"/>
    <row r="1259" s="1" customFormat="1" ht="15.95" customHeight="1" x14ac:dyDescent="0.25"/>
    <row r="1260" s="1" customFormat="1" ht="15.95" customHeight="1" x14ac:dyDescent="0.25"/>
    <row r="1261" s="1" customFormat="1" ht="15.95" customHeight="1" x14ac:dyDescent="0.25"/>
    <row r="1262" s="1" customFormat="1" ht="15.95" customHeight="1" x14ac:dyDescent="0.25"/>
    <row r="1263" s="1" customFormat="1" ht="15.95" customHeight="1" x14ac:dyDescent="0.25"/>
    <row r="1264" s="1" customFormat="1" ht="15.95" customHeight="1" x14ac:dyDescent="0.25"/>
    <row r="1265" s="1" customFormat="1" ht="15.95" customHeight="1" x14ac:dyDescent="0.25"/>
    <row r="1266" s="1" customFormat="1" ht="15.95" customHeight="1" x14ac:dyDescent="0.25"/>
    <row r="1267" s="1" customFormat="1" ht="15.95" customHeight="1" x14ac:dyDescent="0.25"/>
    <row r="1268" s="1" customFormat="1" ht="15.95" customHeight="1" x14ac:dyDescent="0.25"/>
    <row r="1269" s="1" customFormat="1" ht="15.95" customHeight="1" x14ac:dyDescent="0.25"/>
    <row r="1270" s="1" customFormat="1" ht="15.95" customHeight="1" x14ac:dyDescent="0.25"/>
    <row r="1271" s="1" customFormat="1" ht="15.95" customHeight="1" x14ac:dyDescent="0.25"/>
    <row r="1272" s="1" customFormat="1" ht="15.95" customHeight="1" x14ac:dyDescent="0.25"/>
    <row r="1273" s="1" customFormat="1" ht="15.95" customHeight="1" x14ac:dyDescent="0.25"/>
    <row r="1274" s="1" customFormat="1" ht="15.95" customHeight="1" x14ac:dyDescent="0.25"/>
    <row r="1275" s="1" customFormat="1" ht="15.95" customHeight="1" x14ac:dyDescent="0.25"/>
    <row r="1276" s="1" customFormat="1" ht="15.95" customHeight="1" x14ac:dyDescent="0.25"/>
    <row r="1277" s="1" customFormat="1" ht="15.95" customHeight="1" x14ac:dyDescent="0.25"/>
    <row r="1278" s="1" customFormat="1" ht="15.95" customHeight="1" x14ac:dyDescent="0.25"/>
    <row r="1279" s="1" customFormat="1" ht="15.95" customHeight="1" x14ac:dyDescent="0.25"/>
    <row r="1280" s="1" customFormat="1" ht="15.95" customHeight="1" x14ac:dyDescent="0.25"/>
    <row r="1281" s="1" customFormat="1" ht="15.95" customHeight="1" x14ac:dyDescent="0.25"/>
    <row r="1282" s="1" customFormat="1" ht="15.95" customHeight="1" x14ac:dyDescent="0.25"/>
    <row r="1283" s="1" customFormat="1" ht="15.95" customHeight="1" x14ac:dyDescent="0.25"/>
    <row r="1284" s="1" customFormat="1" ht="15.95" customHeight="1" x14ac:dyDescent="0.25"/>
    <row r="1285" s="1" customFormat="1" ht="15.95" customHeight="1" x14ac:dyDescent="0.25"/>
    <row r="1286" s="1" customFormat="1" ht="15.95" customHeight="1" x14ac:dyDescent="0.25"/>
    <row r="1287" s="1" customFormat="1" ht="15.95" customHeight="1" x14ac:dyDescent="0.25"/>
    <row r="1288" s="1" customFormat="1" ht="15.95" customHeight="1" x14ac:dyDescent="0.25"/>
    <row r="1289" s="1" customFormat="1" ht="15.95" customHeight="1" x14ac:dyDescent="0.25"/>
    <row r="1290" s="1" customFormat="1" ht="15.95" customHeight="1" x14ac:dyDescent="0.25"/>
    <row r="1291" s="1" customFormat="1" ht="15.95" customHeight="1" x14ac:dyDescent="0.25"/>
    <row r="1292" s="1" customFormat="1" ht="15.95" customHeight="1" x14ac:dyDescent="0.25"/>
    <row r="1293" s="1" customFormat="1" ht="15.95" customHeight="1" x14ac:dyDescent="0.25"/>
    <row r="1294" s="1" customFormat="1" ht="15.95" customHeight="1" x14ac:dyDescent="0.25"/>
    <row r="1295" s="1" customFormat="1" ht="15.95" customHeight="1" x14ac:dyDescent="0.25"/>
    <row r="1296" s="1" customFormat="1" ht="15.95" customHeight="1" x14ac:dyDescent="0.25"/>
    <row r="1297" s="1" customFormat="1" ht="15.95" customHeight="1" x14ac:dyDescent="0.25"/>
    <row r="1298" s="1" customFormat="1" ht="15.95" customHeight="1" x14ac:dyDescent="0.25"/>
    <row r="1299" s="1" customFormat="1" ht="15.95" customHeight="1" x14ac:dyDescent="0.25"/>
    <row r="1300" s="1" customFormat="1" ht="15.95" customHeight="1" x14ac:dyDescent="0.25"/>
    <row r="1301" s="1" customFormat="1" ht="15.95" customHeight="1" x14ac:dyDescent="0.25"/>
    <row r="1302" s="1" customFormat="1" ht="15.95" customHeight="1" x14ac:dyDescent="0.25"/>
    <row r="1303" s="1" customFormat="1" ht="15.95" customHeight="1" x14ac:dyDescent="0.25"/>
    <row r="1304" s="1" customFormat="1" ht="15.95" customHeight="1" x14ac:dyDescent="0.25"/>
    <row r="1305" s="1" customFormat="1" ht="15.95" customHeight="1" x14ac:dyDescent="0.25"/>
    <row r="1306" s="1" customFormat="1" ht="15.95" customHeight="1" x14ac:dyDescent="0.25"/>
    <row r="1307" s="1" customFormat="1" ht="15.95" customHeight="1" x14ac:dyDescent="0.25"/>
    <row r="1308" s="1" customFormat="1" ht="15.95" customHeight="1" x14ac:dyDescent="0.25"/>
    <row r="1309" s="1" customFormat="1" ht="15.95" customHeight="1" x14ac:dyDescent="0.25"/>
    <row r="1310" s="1" customFormat="1" ht="15.95" customHeight="1" x14ac:dyDescent="0.25"/>
    <row r="1311" s="1" customFormat="1" ht="15.95" customHeight="1" x14ac:dyDescent="0.25"/>
    <row r="1312" s="1" customFormat="1" ht="15.95" customHeight="1" x14ac:dyDescent="0.25"/>
    <row r="1313" s="1" customFormat="1" ht="15.95" customHeight="1" x14ac:dyDescent="0.25"/>
    <row r="1314" s="1" customFormat="1" ht="15.95" customHeight="1" x14ac:dyDescent="0.25"/>
    <row r="1315" s="1" customFormat="1" ht="15.95" customHeight="1" x14ac:dyDescent="0.25"/>
    <row r="1316" s="1" customFormat="1" ht="15.95" customHeight="1" x14ac:dyDescent="0.25"/>
    <row r="1317" s="1" customFormat="1" ht="15.95" customHeight="1" x14ac:dyDescent="0.25"/>
    <row r="1318" s="1" customFormat="1" ht="15.95" customHeight="1" x14ac:dyDescent="0.25"/>
    <row r="1319" s="1" customFormat="1" ht="15.95" customHeight="1" x14ac:dyDescent="0.25"/>
    <row r="1320" s="1" customFormat="1" ht="15.95" customHeight="1" x14ac:dyDescent="0.25"/>
    <row r="1321" s="1" customFormat="1" ht="15.95" customHeight="1" x14ac:dyDescent="0.25"/>
    <row r="1322" s="1" customFormat="1" ht="15.95" customHeight="1" x14ac:dyDescent="0.25"/>
    <row r="1323" s="1" customFormat="1" ht="15.95" customHeight="1" x14ac:dyDescent="0.25"/>
    <row r="1324" s="1" customFormat="1" ht="15.95" customHeight="1" x14ac:dyDescent="0.25"/>
    <row r="1325" s="1" customFormat="1" ht="15.95" customHeight="1" x14ac:dyDescent="0.25"/>
    <row r="1326" s="1" customFormat="1" ht="15.95" customHeight="1" x14ac:dyDescent="0.25"/>
    <row r="1327" s="1" customFormat="1" ht="15.95" customHeight="1" x14ac:dyDescent="0.25"/>
    <row r="1328" s="1" customFormat="1" ht="15.95" customHeight="1" x14ac:dyDescent="0.25"/>
    <row r="1329" s="1" customFormat="1" ht="15.95" customHeight="1" x14ac:dyDescent="0.25"/>
    <row r="1330" s="1" customFormat="1" ht="15.95" customHeight="1" x14ac:dyDescent="0.25"/>
    <row r="1331" s="1" customFormat="1" ht="15.95" customHeight="1" x14ac:dyDescent="0.25"/>
    <row r="1332" s="1" customFormat="1" ht="15.95" customHeight="1" x14ac:dyDescent="0.25"/>
    <row r="1333" s="1" customFormat="1" ht="15.95" customHeight="1" x14ac:dyDescent="0.25"/>
    <row r="1334" s="1" customFormat="1" ht="15.95" customHeight="1" x14ac:dyDescent="0.25"/>
    <row r="1335" s="1" customFormat="1" ht="15.95" customHeight="1" x14ac:dyDescent="0.25"/>
    <row r="1336" s="1" customFormat="1" ht="15.95" customHeight="1" x14ac:dyDescent="0.25"/>
    <row r="1337" s="1" customFormat="1" ht="15.95" customHeight="1" x14ac:dyDescent="0.25"/>
    <row r="1338" s="1" customFormat="1" ht="15.95" customHeight="1" x14ac:dyDescent="0.25"/>
    <row r="1339" s="1" customFormat="1" ht="15.95" customHeight="1" x14ac:dyDescent="0.25"/>
    <row r="1340" s="1" customFormat="1" ht="15.95" customHeight="1" x14ac:dyDescent="0.25"/>
    <row r="1341" s="1" customFormat="1" ht="15.95" customHeight="1" x14ac:dyDescent="0.25"/>
    <row r="1342" s="1" customFormat="1" ht="15.95" customHeight="1" x14ac:dyDescent="0.25"/>
    <row r="1343" s="1" customFormat="1" ht="15.95" customHeight="1" x14ac:dyDescent="0.25"/>
    <row r="1344" s="1" customFormat="1" ht="15.95" customHeight="1" x14ac:dyDescent="0.25"/>
    <row r="1345" s="1" customFormat="1" ht="15.95" customHeight="1" x14ac:dyDescent="0.25"/>
    <row r="1346" s="1" customFormat="1" ht="15.95" customHeight="1" x14ac:dyDescent="0.25"/>
    <row r="1347" s="1" customFormat="1" ht="15.95" customHeight="1" x14ac:dyDescent="0.25"/>
    <row r="1348" s="1" customFormat="1" ht="15.95" customHeight="1" x14ac:dyDescent="0.25"/>
    <row r="1349" s="1" customFormat="1" ht="15.95" customHeight="1" x14ac:dyDescent="0.25"/>
    <row r="1350" s="1" customFormat="1" ht="15.95" customHeight="1" x14ac:dyDescent="0.25"/>
    <row r="1351" s="1" customFormat="1" ht="15.95" customHeight="1" x14ac:dyDescent="0.25"/>
    <row r="1352" s="1" customFormat="1" ht="15.95" customHeight="1" x14ac:dyDescent="0.25"/>
    <row r="1353" s="1" customFormat="1" ht="15.95" customHeight="1" x14ac:dyDescent="0.25"/>
    <row r="1354" s="1" customFormat="1" ht="15.95" customHeight="1" x14ac:dyDescent="0.25"/>
    <row r="1355" s="1" customFormat="1" ht="15.95" customHeight="1" x14ac:dyDescent="0.25"/>
    <row r="1356" s="1" customFormat="1" ht="15.95" customHeight="1" x14ac:dyDescent="0.25"/>
    <row r="1357" s="1" customFormat="1" ht="15.95" customHeight="1" x14ac:dyDescent="0.25"/>
    <row r="1358" s="1" customFormat="1" ht="15.95" customHeight="1" x14ac:dyDescent="0.25"/>
    <row r="1359" s="1" customFormat="1" ht="15.95" customHeight="1" x14ac:dyDescent="0.25"/>
    <row r="1360" s="1" customFormat="1" ht="15.95" customHeight="1" x14ac:dyDescent="0.25"/>
    <row r="1361" s="1" customFormat="1" ht="15.95" customHeight="1" x14ac:dyDescent="0.25"/>
    <row r="1362" s="1" customFormat="1" ht="15.95" customHeight="1" x14ac:dyDescent="0.25"/>
    <row r="1363" s="1" customFormat="1" ht="15.95" customHeight="1" x14ac:dyDescent="0.25"/>
    <row r="1364" s="1" customFormat="1" ht="15.95" customHeight="1" x14ac:dyDescent="0.25"/>
    <row r="1365" s="1" customFormat="1" ht="15.95" customHeight="1" x14ac:dyDescent="0.25"/>
    <row r="1366" s="1" customFormat="1" ht="15.95" customHeight="1" x14ac:dyDescent="0.25"/>
    <row r="1367" s="1" customFormat="1" ht="15.95" customHeight="1" x14ac:dyDescent="0.25"/>
    <row r="1368" s="1" customFormat="1" ht="15.95" customHeight="1" x14ac:dyDescent="0.25"/>
    <row r="1369" s="1" customFormat="1" ht="15.95" customHeight="1" x14ac:dyDescent="0.25"/>
    <row r="1370" s="1" customFormat="1" ht="15.95" customHeight="1" x14ac:dyDescent="0.25"/>
    <row r="1371" s="1" customFormat="1" ht="15.95" customHeight="1" x14ac:dyDescent="0.25"/>
    <row r="1372" s="1" customFormat="1" ht="15.95" customHeight="1" x14ac:dyDescent="0.25"/>
    <row r="1373" s="1" customFormat="1" ht="15.95" customHeight="1" x14ac:dyDescent="0.25"/>
    <row r="1374" s="1" customFormat="1" ht="15.95" customHeight="1" x14ac:dyDescent="0.25"/>
    <row r="1375" s="1" customFormat="1" ht="15.95" customHeight="1" x14ac:dyDescent="0.25"/>
    <row r="1376" s="1" customFormat="1" ht="15.95" customHeight="1" x14ac:dyDescent="0.25"/>
    <row r="1377" s="1" customFormat="1" ht="15.95" customHeight="1" x14ac:dyDescent="0.25"/>
    <row r="1378" s="1" customFormat="1" ht="15.95" customHeight="1" x14ac:dyDescent="0.25"/>
    <row r="1379" s="1" customFormat="1" ht="15.95" customHeight="1" x14ac:dyDescent="0.25"/>
    <row r="1380" s="1" customFormat="1" ht="15.95" customHeight="1" x14ac:dyDescent="0.25"/>
    <row r="1381" s="1" customFormat="1" ht="15.95" customHeight="1" x14ac:dyDescent="0.25"/>
    <row r="1382" s="1" customFormat="1" ht="15.95" customHeight="1" x14ac:dyDescent="0.25"/>
    <row r="1383" s="1" customFormat="1" ht="15.95" customHeight="1" x14ac:dyDescent="0.25"/>
    <row r="1384" s="1" customFormat="1" ht="15.95" customHeight="1" x14ac:dyDescent="0.25"/>
    <row r="1385" s="1" customFormat="1" ht="15.95" customHeight="1" x14ac:dyDescent="0.25"/>
    <row r="1386" s="1" customFormat="1" ht="15.95" customHeight="1" x14ac:dyDescent="0.25"/>
    <row r="1387" s="1" customFormat="1" ht="15.95" customHeight="1" x14ac:dyDescent="0.25"/>
    <row r="1388" s="1" customFormat="1" ht="15.95" customHeight="1" x14ac:dyDescent="0.25"/>
    <row r="1389" s="1" customFormat="1" ht="15.95" customHeight="1" x14ac:dyDescent="0.25"/>
    <row r="1390" s="1" customFormat="1" ht="15.95" customHeight="1" x14ac:dyDescent="0.25"/>
    <row r="1391" s="1" customFormat="1" ht="15.95" customHeight="1" x14ac:dyDescent="0.25"/>
    <row r="1392" s="1" customFormat="1" ht="15.95" customHeight="1" x14ac:dyDescent="0.25"/>
    <row r="1393" s="1" customFormat="1" ht="15.95" customHeight="1" x14ac:dyDescent="0.25"/>
    <row r="1394" s="1" customFormat="1" ht="15.95" customHeight="1" x14ac:dyDescent="0.25"/>
    <row r="1395" s="1" customFormat="1" ht="15.95" customHeight="1" x14ac:dyDescent="0.25"/>
    <row r="1396" s="1" customFormat="1" ht="15.95" customHeight="1" x14ac:dyDescent="0.25"/>
    <row r="1397" s="1" customFormat="1" ht="15.95" customHeight="1" x14ac:dyDescent="0.25"/>
    <row r="1398" s="1" customFormat="1" ht="15.95" customHeight="1" x14ac:dyDescent="0.25"/>
    <row r="1399" s="1" customFormat="1" ht="15.95" customHeight="1" x14ac:dyDescent="0.25"/>
    <row r="1400" s="1" customFormat="1" ht="15.95" customHeight="1" x14ac:dyDescent="0.25"/>
    <row r="1401" s="1" customFormat="1" ht="15.95" customHeight="1" x14ac:dyDescent="0.25"/>
    <row r="1402" s="1" customFormat="1" ht="15.95" customHeight="1" x14ac:dyDescent="0.25"/>
    <row r="1403" s="1" customFormat="1" ht="15.95" customHeight="1" x14ac:dyDescent="0.25"/>
    <row r="1404" s="1" customFormat="1" ht="15.95" customHeight="1" x14ac:dyDescent="0.25"/>
    <row r="1405" s="1" customFormat="1" ht="15.95" customHeight="1" x14ac:dyDescent="0.25"/>
    <row r="1406" s="1" customFormat="1" ht="15.95" customHeight="1" x14ac:dyDescent="0.25"/>
    <row r="1407" s="1" customFormat="1" ht="15.95" customHeight="1" x14ac:dyDescent="0.25"/>
    <row r="1408" s="1" customFormat="1" ht="15.95" customHeight="1" x14ac:dyDescent="0.25"/>
    <row r="1409" s="1" customFormat="1" ht="15.95" customHeight="1" x14ac:dyDescent="0.25"/>
    <row r="1410" s="1" customFormat="1" ht="15.95" customHeight="1" x14ac:dyDescent="0.25"/>
    <row r="1411" s="1" customFormat="1" ht="15.95" customHeight="1" x14ac:dyDescent="0.25"/>
    <row r="1412" s="1" customFormat="1" ht="15.95" customHeight="1" x14ac:dyDescent="0.25"/>
    <row r="1413" s="1" customFormat="1" ht="15.95" customHeight="1" x14ac:dyDescent="0.25"/>
    <row r="1414" s="1" customFormat="1" ht="15.95" customHeight="1" x14ac:dyDescent="0.25"/>
    <row r="1415" s="1" customFormat="1" ht="15.95" customHeight="1" x14ac:dyDescent="0.25"/>
    <row r="1416" s="1" customFormat="1" ht="15.95" customHeight="1" x14ac:dyDescent="0.25"/>
    <row r="1417" s="1" customFormat="1" ht="15.95" customHeight="1" x14ac:dyDescent="0.25"/>
    <row r="1418" s="1" customFormat="1" ht="15.95" customHeight="1" x14ac:dyDescent="0.25"/>
    <row r="1419" s="1" customFormat="1" ht="15.95" customHeight="1" x14ac:dyDescent="0.25"/>
    <row r="1420" s="1" customFormat="1" ht="15.95" customHeight="1" x14ac:dyDescent="0.25"/>
    <row r="1421" s="1" customFormat="1" ht="15.95" customHeight="1" x14ac:dyDescent="0.25"/>
    <row r="1422" s="1" customFormat="1" ht="15.95" customHeight="1" x14ac:dyDescent="0.25"/>
    <row r="1423" s="1" customFormat="1" ht="15.95" customHeight="1" x14ac:dyDescent="0.25"/>
    <row r="1424" s="1" customFormat="1" ht="15.95" customHeight="1" x14ac:dyDescent="0.25"/>
    <row r="1425" s="1" customFormat="1" ht="15.95" customHeight="1" x14ac:dyDescent="0.25"/>
    <row r="1426" s="1" customFormat="1" ht="15.95" customHeight="1" x14ac:dyDescent="0.25"/>
    <row r="1427" s="1" customFormat="1" ht="15.95" customHeight="1" x14ac:dyDescent="0.25"/>
    <row r="1428" s="1" customFormat="1" ht="15.95" customHeight="1" x14ac:dyDescent="0.25"/>
    <row r="1429" s="1" customFormat="1" ht="15.95" customHeight="1" x14ac:dyDescent="0.25"/>
    <row r="1430" s="1" customFormat="1" ht="15.95" customHeight="1" x14ac:dyDescent="0.25"/>
    <row r="1431" s="1" customFormat="1" ht="15.95" customHeight="1" x14ac:dyDescent="0.25"/>
    <row r="1432" s="1" customFormat="1" ht="15.95" customHeight="1" x14ac:dyDescent="0.25"/>
    <row r="1433" s="1" customFormat="1" ht="15.95" customHeight="1" x14ac:dyDescent="0.25"/>
    <row r="1434" s="1" customFormat="1" ht="15.95" customHeight="1" x14ac:dyDescent="0.25"/>
    <row r="1435" s="1" customFormat="1" ht="15.95" customHeight="1" x14ac:dyDescent="0.25"/>
    <row r="1436" s="1" customFormat="1" ht="15.95" customHeight="1" x14ac:dyDescent="0.25"/>
    <row r="1437" s="1" customFormat="1" ht="15.95" customHeight="1" x14ac:dyDescent="0.25"/>
    <row r="1438" s="1" customFormat="1" ht="15.95" customHeight="1" x14ac:dyDescent="0.25"/>
    <row r="1439" s="1" customFormat="1" ht="15.95" customHeight="1" x14ac:dyDescent="0.25"/>
    <row r="1440" s="1" customFormat="1" ht="15.95" customHeight="1" x14ac:dyDescent="0.25"/>
    <row r="1441" s="1" customFormat="1" ht="15.95" customHeight="1" x14ac:dyDescent="0.25"/>
    <row r="1442" s="1" customFormat="1" ht="15.95" customHeight="1" x14ac:dyDescent="0.25"/>
    <row r="1443" s="1" customFormat="1" ht="15.95" customHeight="1" x14ac:dyDescent="0.25"/>
    <row r="1444" s="1" customFormat="1" ht="15.95" customHeight="1" x14ac:dyDescent="0.25"/>
    <row r="1445" s="1" customFormat="1" ht="15.95" customHeight="1" x14ac:dyDescent="0.25"/>
    <row r="1446" s="1" customFormat="1" ht="15.95" customHeight="1" x14ac:dyDescent="0.25"/>
    <row r="1447" s="1" customFormat="1" ht="15.95" customHeight="1" x14ac:dyDescent="0.25"/>
    <row r="1448" s="1" customFormat="1" ht="15.95" customHeight="1" x14ac:dyDescent="0.25"/>
    <row r="1449" s="1" customFormat="1" ht="15.95" customHeight="1" x14ac:dyDescent="0.25"/>
    <row r="1450" s="1" customFormat="1" ht="15.95" customHeight="1" x14ac:dyDescent="0.25"/>
    <row r="1451" s="1" customFormat="1" ht="15.95" customHeight="1" x14ac:dyDescent="0.25"/>
    <row r="1452" s="1" customFormat="1" ht="15.95" customHeight="1" x14ac:dyDescent="0.25"/>
    <row r="1453" s="1" customFormat="1" ht="15.95" customHeight="1" x14ac:dyDescent="0.25"/>
    <row r="1454" s="1" customFormat="1" ht="15.95" customHeight="1" x14ac:dyDescent="0.25"/>
    <row r="1455" s="1" customFormat="1" ht="15.95" customHeight="1" x14ac:dyDescent="0.25"/>
    <row r="1456" s="1" customFormat="1" ht="15.95" customHeight="1" x14ac:dyDescent="0.25"/>
    <row r="1457" s="1" customFormat="1" ht="15.95" customHeight="1" x14ac:dyDescent="0.25"/>
    <row r="1458" s="1" customFormat="1" ht="15.95" customHeight="1" x14ac:dyDescent="0.25"/>
    <row r="1459" s="1" customFormat="1" ht="15.95" customHeight="1" x14ac:dyDescent="0.25"/>
    <row r="1460" s="1" customFormat="1" ht="15.95" customHeight="1" x14ac:dyDescent="0.25"/>
    <row r="1461" s="1" customFormat="1" ht="15.95" customHeight="1" x14ac:dyDescent="0.25"/>
    <row r="1462" s="1" customFormat="1" ht="15.95" customHeight="1" x14ac:dyDescent="0.25"/>
    <row r="1463" s="1" customFormat="1" ht="15.95" customHeight="1" x14ac:dyDescent="0.25"/>
    <row r="1464" s="1" customFormat="1" ht="15.95" customHeight="1" x14ac:dyDescent="0.25"/>
    <row r="1465" s="1" customFormat="1" ht="15.95" customHeight="1" x14ac:dyDescent="0.25"/>
    <row r="1466" s="1" customFormat="1" ht="15.95" customHeight="1" x14ac:dyDescent="0.25"/>
    <row r="1467" s="1" customFormat="1" ht="15.95" customHeight="1" x14ac:dyDescent="0.25"/>
    <row r="1468" s="1" customFormat="1" ht="15.95" customHeight="1" x14ac:dyDescent="0.25"/>
    <row r="1469" s="1" customFormat="1" ht="15.95" customHeight="1" x14ac:dyDescent="0.25"/>
    <row r="1470" s="1" customFormat="1" ht="15.95" customHeight="1" x14ac:dyDescent="0.25"/>
    <row r="1471" s="1" customFormat="1" ht="15.95" customHeight="1" x14ac:dyDescent="0.25"/>
    <row r="1472" s="1" customFormat="1" ht="15.95" customHeight="1" x14ac:dyDescent="0.25"/>
    <row r="1473" s="1" customFormat="1" ht="15.95" customHeight="1" x14ac:dyDescent="0.25"/>
    <row r="1474" s="1" customFormat="1" ht="15.95" customHeight="1" x14ac:dyDescent="0.25"/>
    <row r="1475" s="1" customFormat="1" ht="15.95" customHeight="1" x14ac:dyDescent="0.25"/>
    <row r="1476" s="1" customFormat="1" ht="15.95" customHeight="1" x14ac:dyDescent="0.25"/>
    <row r="1477" s="1" customFormat="1" ht="15.95" customHeight="1" x14ac:dyDescent="0.25"/>
    <row r="1478" s="1" customFormat="1" ht="15.95" customHeight="1" x14ac:dyDescent="0.25"/>
    <row r="1479" s="1" customFormat="1" ht="15.95" customHeight="1" x14ac:dyDescent="0.25"/>
    <row r="1480" s="1" customFormat="1" ht="15.95" customHeight="1" x14ac:dyDescent="0.25"/>
    <row r="1481" s="1" customFormat="1" ht="15.95" customHeight="1" x14ac:dyDescent="0.25"/>
    <row r="1482" s="1" customFormat="1" ht="15.95" customHeight="1" x14ac:dyDescent="0.25"/>
    <row r="1483" s="1" customFormat="1" ht="15.95" customHeight="1" x14ac:dyDescent="0.25"/>
    <row r="1484" s="1" customFormat="1" ht="15.95" customHeight="1" x14ac:dyDescent="0.25"/>
    <row r="1485" s="1" customFormat="1" ht="15.95" customHeight="1" x14ac:dyDescent="0.25"/>
    <row r="1486" s="1" customFormat="1" ht="15.95" customHeight="1" x14ac:dyDescent="0.25"/>
    <row r="1487" s="1" customFormat="1" ht="15.95" customHeight="1" x14ac:dyDescent="0.25"/>
    <row r="1488" s="1" customFormat="1" ht="15.95" customHeight="1" x14ac:dyDescent="0.25"/>
    <row r="1489" s="1" customFormat="1" ht="15.95" customHeight="1" x14ac:dyDescent="0.25"/>
    <row r="1490" s="1" customFormat="1" ht="15.95" customHeight="1" x14ac:dyDescent="0.25"/>
    <row r="1491" s="1" customFormat="1" ht="15.95" customHeight="1" x14ac:dyDescent="0.25"/>
    <row r="1492" s="1" customFormat="1" ht="15.95" customHeight="1" x14ac:dyDescent="0.25"/>
    <row r="1493" s="1" customFormat="1" ht="15.95" customHeight="1" x14ac:dyDescent="0.25"/>
    <row r="1494" s="1" customFormat="1" ht="15.95" customHeight="1" x14ac:dyDescent="0.25"/>
    <row r="1495" s="1" customFormat="1" ht="15.95" customHeight="1" x14ac:dyDescent="0.25"/>
    <row r="1496" s="1" customFormat="1" ht="15.95" customHeight="1" x14ac:dyDescent="0.25"/>
    <row r="1497" s="1" customFormat="1" ht="15.95" customHeight="1" x14ac:dyDescent="0.25"/>
    <row r="1498" s="1" customFormat="1" ht="15.95" customHeight="1" x14ac:dyDescent="0.25"/>
    <row r="1499" s="1" customFormat="1" ht="15.95" customHeight="1" x14ac:dyDescent="0.25"/>
    <row r="1500" s="1" customFormat="1" ht="15.95" customHeight="1" x14ac:dyDescent="0.25"/>
    <row r="1501" s="1" customFormat="1" ht="15.95" customHeight="1" x14ac:dyDescent="0.25"/>
    <row r="1502" s="1" customFormat="1" ht="15.95" customHeight="1" x14ac:dyDescent="0.25"/>
    <row r="1503" s="1" customFormat="1" ht="15.95" customHeight="1" x14ac:dyDescent="0.25"/>
    <row r="1504" s="1" customFormat="1" ht="15.95" customHeight="1" x14ac:dyDescent="0.25"/>
    <row r="1505" s="1" customFormat="1" ht="15.95" customHeight="1" x14ac:dyDescent="0.25"/>
    <row r="1506" s="1" customFormat="1" ht="15.95" customHeight="1" x14ac:dyDescent="0.25"/>
    <row r="1507" s="1" customFormat="1" ht="15.95" customHeight="1" x14ac:dyDescent="0.25"/>
    <row r="1508" s="1" customFormat="1" ht="15.95" customHeight="1" x14ac:dyDescent="0.25"/>
    <row r="1509" s="1" customFormat="1" ht="15.95" customHeight="1" x14ac:dyDescent="0.25"/>
    <row r="1510" s="1" customFormat="1" ht="15.95" customHeight="1" x14ac:dyDescent="0.25"/>
    <row r="1511" s="1" customFormat="1" ht="15.95" customHeight="1" x14ac:dyDescent="0.25"/>
    <row r="1512" s="1" customFormat="1" ht="15.95" customHeight="1" x14ac:dyDescent="0.25"/>
    <row r="1513" s="1" customFormat="1" ht="15.95" customHeight="1" x14ac:dyDescent="0.25"/>
    <row r="1514" s="1" customFormat="1" ht="15.95" customHeight="1" x14ac:dyDescent="0.25"/>
    <row r="1515" s="1" customFormat="1" ht="15.95" customHeight="1" x14ac:dyDescent="0.25"/>
    <row r="1516" s="1" customFormat="1" ht="15.95" customHeight="1" x14ac:dyDescent="0.25"/>
    <row r="1517" s="1" customFormat="1" ht="15.95" customHeight="1" x14ac:dyDescent="0.25"/>
    <row r="1518" s="1" customFormat="1" ht="15.95" customHeight="1" x14ac:dyDescent="0.25"/>
    <row r="1519" s="1" customFormat="1" ht="15.95" customHeight="1" x14ac:dyDescent="0.25"/>
    <row r="1520" s="1" customFormat="1" ht="15.95" customHeight="1" x14ac:dyDescent="0.25"/>
    <row r="1521" s="1" customFormat="1" ht="15.95" customHeight="1" x14ac:dyDescent="0.25"/>
    <row r="1522" s="1" customFormat="1" ht="15.95" customHeight="1" x14ac:dyDescent="0.25"/>
    <row r="1523" s="1" customFormat="1" ht="15.95" customHeight="1" x14ac:dyDescent="0.25"/>
    <row r="1524" s="1" customFormat="1" ht="15.95" customHeight="1" x14ac:dyDescent="0.25"/>
    <row r="1525" s="1" customFormat="1" ht="15.95" customHeight="1" x14ac:dyDescent="0.25"/>
    <row r="1526" s="1" customFormat="1" ht="15.95" customHeight="1" x14ac:dyDescent="0.25"/>
    <row r="1527" s="1" customFormat="1" ht="15.95" customHeight="1" x14ac:dyDescent="0.25"/>
    <row r="1528" s="1" customFormat="1" ht="15.95" customHeight="1" x14ac:dyDescent="0.25"/>
    <row r="1529" s="1" customFormat="1" ht="15.95" customHeight="1" x14ac:dyDescent="0.25"/>
    <row r="1530" s="1" customFormat="1" ht="15.95" customHeight="1" x14ac:dyDescent="0.25"/>
    <row r="1531" s="1" customFormat="1" ht="15.95" customHeight="1" x14ac:dyDescent="0.25"/>
    <row r="1532" s="1" customFormat="1" ht="15.95" customHeight="1" x14ac:dyDescent="0.25"/>
    <row r="1533" s="1" customFormat="1" ht="15.95" customHeight="1" x14ac:dyDescent="0.25"/>
    <row r="1534" s="1" customFormat="1" ht="15.95" customHeight="1" x14ac:dyDescent="0.25"/>
    <row r="1535" s="1" customFormat="1" ht="15.95" customHeight="1" x14ac:dyDescent="0.25"/>
    <row r="1536" s="1" customFormat="1" ht="15.95" customHeight="1" x14ac:dyDescent="0.25"/>
    <row r="1537" s="1" customFormat="1" ht="15.95" customHeight="1" x14ac:dyDescent="0.25"/>
    <row r="1538" s="1" customFormat="1" ht="15.95" customHeight="1" x14ac:dyDescent="0.25"/>
    <row r="1539" s="1" customFormat="1" ht="15.95" customHeight="1" x14ac:dyDescent="0.25"/>
    <row r="1540" s="1" customFormat="1" ht="15.95" customHeight="1" x14ac:dyDescent="0.25"/>
    <row r="1541" s="1" customFormat="1" ht="15.95" customHeight="1" x14ac:dyDescent="0.25"/>
    <row r="1542" s="1" customFormat="1" ht="15.95" customHeight="1" x14ac:dyDescent="0.25"/>
    <row r="1543" s="1" customFormat="1" ht="15.95" customHeight="1" x14ac:dyDescent="0.25"/>
    <row r="1544" s="1" customFormat="1" ht="15.95" customHeight="1" x14ac:dyDescent="0.25"/>
    <row r="1545" s="1" customFormat="1" ht="15.95" customHeight="1" x14ac:dyDescent="0.25"/>
    <row r="1546" s="1" customFormat="1" ht="15.95" customHeight="1" x14ac:dyDescent="0.25"/>
    <row r="1547" s="1" customFormat="1" ht="15.95" customHeight="1" x14ac:dyDescent="0.25"/>
    <row r="1548" s="1" customFormat="1" ht="15.95" customHeight="1" x14ac:dyDescent="0.25"/>
    <row r="1549" s="1" customFormat="1" ht="15.95" customHeight="1" x14ac:dyDescent="0.25"/>
    <row r="1550" s="1" customFormat="1" ht="15.95" customHeight="1" x14ac:dyDescent="0.25"/>
    <row r="1551" s="1" customFormat="1" ht="15.95" customHeight="1" x14ac:dyDescent="0.25"/>
    <row r="1552" s="1" customFormat="1" ht="15.95" customHeight="1" x14ac:dyDescent="0.25"/>
    <row r="1553" s="1" customFormat="1" ht="15.95" customHeight="1" x14ac:dyDescent="0.25"/>
    <row r="1554" s="1" customFormat="1" ht="15.95" customHeight="1" x14ac:dyDescent="0.25"/>
    <row r="1555" s="1" customFormat="1" ht="15.95" customHeight="1" x14ac:dyDescent="0.25"/>
    <row r="1556" s="1" customFormat="1" ht="15.95" customHeight="1" x14ac:dyDescent="0.25"/>
    <row r="1557" s="1" customFormat="1" ht="15.95" customHeight="1" x14ac:dyDescent="0.25"/>
    <row r="1558" s="1" customFormat="1" ht="15.95" customHeight="1" x14ac:dyDescent="0.25"/>
    <row r="1559" s="1" customFormat="1" ht="15.95" customHeight="1" x14ac:dyDescent="0.25"/>
    <row r="1560" s="1" customFormat="1" ht="15.95" customHeight="1" x14ac:dyDescent="0.25"/>
    <row r="1561" s="1" customFormat="1" ht="15.95" customHeight="1" x14ac:dyDescent="0.25"/>
    <row r="1562" s="1" customFormat="1" ht="15.95" customHeight="1" x14ac:dyDescent="0.25"/>
    <row r="1563" s="1" customFormat="1" ht="15.95" customHeight="1" x14ac:dyDescent="0.25"/>
    <row r="1564" s="1" customFormat="1" ht="15.95" customHeight="1" x14ac:dyDescent="0.25"/>
    <row r="1565" s="1" customFormat="1" ht="15.95" customHeight="1" x14ac:dyDescent="0.25"/>
    <row r="1566" s="1" customFormat="1" ht="15.95" customHeight="1" x14ac:dyDescent="0.25"/>
    <row r="1567" s="1" customFormat="1" ht="15.95" customHeight="1" x14ac:dyDescent="0.25"/>
    <row r="1568" s="1" customFormat="1" ht="15.95" customHeight="1" x14ac:dyDescent="0.25"/>
    <row r="1569" s="1" customFormat="1" ht="15.95" customHeight="1" x14ac:dyDescent="0.25"/>
    <row r="1570" s="1" customFormat="1" ht="15.95" customHeight="1" x14ac:dyDescent="0.25"/>
    <row r="1571" s="1" customFormat="1" ht="15.95" customHeight="1" x14ac:dyDescent="0.25"/>
    <row r="1572" s="1" customFormat="1" ht="15.95" customHeight="1" x14ac:dyDescent="0.25"/>
    <row r="1573" s="1" customFormat="1" ht="15.95" customHeight="1" x14ac:dyDescent="0.25"/>
    <row r="1574" s="1" customFormat="1" ht="15.95" customHeight="1" x14ac:dyDescent="0.25"/>
    <row r="1575" s="1" customFormat="1" ht="15.95" customHeight="1" x14ac:dyDescent="0.25"/>
    <row r="1576" s="1" customFormat="1" ht="15.95" customHeight="1" x14ac:dyDescent="0.25"/>
    <row r="1577" s="1" customFormat="1" ht="15.95" customHeight="1" x14ac:dyDescent="0.25"/>
    <row r="1578" s="1" customFormat="1" ht="15.95" customHeight="1" x14ac:dyDescent="0.25"/>
    <row r="1579" s="1" customFormat="1" ht="15.95" customHeight="1" x14ac:dyDescent="0.25"/>
    <row r="1580" s="1" customFormat="1" ht="15.95" customHeight="1" x14ac:dyDescent="0.25"/>
    <row r="1581" s="1" customFormat="1" ht="15.95" customHeight="1" x14ac:dyDescent="0.25"/>
    <row r="1582" s="1" customFormat="1" ht="15.95" customHeight="1" x14ac:dyDescent="0.25"/>
    <row r="1583" s="1" customFormat="1" ht="15.95" customHeight="1" x14ac:dyDescent="0.25"/>
    <row r="1584" s="1" customFormat="1" ht="15.95" customHeight="1" x14ac:dyDescent="0.25"/>
    <row r="1585" s="1" customFormat="1" ht="15.95" customHeight="1" x14ac:dyDescent="0.25"/>
    <row r="1586" s="1" customFormat="1" ht="15.95" customHeight="1" x14ac:dyDescent="0.25"/>
    <row r="1587" s="1" customFormat="1" ht="15.95" customHeight="1" x14ac:dyDescent="0.25"/>
    <row r="1588" s="1" customFormat="1" ht="15.95" customHeight="1" x14ac:dyDescent="0.25"/>
    <row r="1589" s="1" customFormat="1" ht="15.95" customHeight="1" x14ac:dyDescent="0.25"/>
    <row r="1590" s="1" customFormat="1" ht="15.95" customHeight="1" x14ac:dyDescent="0.25"/>
    <row r="1591" s="1" customFormat="1" ht="15.95" customHeight="1" x14ac:dyDescent="0.25"/>
    <row r="1592" s="1" customFormat="1" ht="15.95" customHeight="1" x14ac:dyDescent="0.25"/>
    <row r="1593" s="1" customFormat="1" ht="15.95" customHeight="1" x14ac:dyDescent="0.25"/>
    <row r="1594" s="1" customFormat="1" ht="15.95" customHeight="1" x14ac:dyDescent="0.25"/>
    <row r="1595" s="1" customFormat="1" ht="15.95" customHeight="1" x14ac:dyDescent="0.25"/>
    <row r="1596" s="1" customFormat="1" ht="15.95" customHeight="1" x14ac:dyDescent="0.25"/>
    <row r="1597" s="1" customFormat="1" ht="15.95" customHeight="1" x14ac:dyDescent="0.25"/>
    <row r="1598" s="1" customFormat="1" ht="15.95" customHeight="1" x14ac:dyDescent="0.25"/>
    <row r="1599" s="1" customFormat="1" ht="15.95" customHeight="1" x14ac:dyDescent="0.25"/>
    <row r="1600" s="1" customFormat="1" ht="15.95" customHeight="1" x14ac:dyDescent="0.25"/>
    <row r="1601" s="1" customFormat="1" ht="15.95" customHeight="1" x14ac:dyDescent="0.25"/>
    <row r="1602" s="1" customFormat="1" ht="15.95" customHeight="1" x14ac:dyDescent="0.25"/>
    <row r="1603" s="1" customFormat="1" ht="15.95" customHeight="1" x14ac:dyDescent="0.25"/>
    <row r="1604" s="1" customFormat="1" ht="15.95" customHeight="1" x14ac:dyDescent="0.25"/>
    <row r="1605" s="1" customFormat="1" ht="15.95" customHeight="1" x14ac:dyDescent="0.25"/>
    <row r="1606" s="1" customFormat="1" ht="15.95" customHeight="1" x14ac:dyDescent="0.25"/>
    <row r="1607" s="1" customFormat="1" ht="15.95" customHeight="1" x14ac:dyDescent="0.25"/>
    <row r="1608" s="1" customFormat="1" ht="15.95" customHeight="1" x14ac:dyDescent="0.25"/>
    <row r="1609" s="1" customFormat="1" ht="15.95" customHeight="1" x14ac:dyDescent="0.25"/>
    <row r="1610" s="1" customFormat="1" ht="15.95" customHeight="1" x14ac:dyDescent="0.25"/>
    <row r="1611" s="1" customFormat="1" ht="15.95" customHeight="1" x14ac:dyDescent="0.25"/>
    <row r="1612" s="1" customFormat="1" ht="15.95" customHeight="1" x14ac:dyDescent="0.25"/>
    <row r="1613" s="1" customFormat="1" ht="15.95" customHeight="1" x14ac:dyDescent="0.25"/>
    <row r="1614" s="1" customFormat="1" ht="15.95" customHeight="1" x14ac:dyDescent="0.25"/>
    <row r="1615" s="1" customFormat="1" ht="15.95" customHeight="1" x14ac:dyDescent="0.25"/>
    <row r="1616" s="1" customFormat="1" ht="15.95" customHeight="1" x14ac:dyDescent="0.25"/>
    <row r="1617" s="1" customFormat="1" ht="15.95" customHeight="1" x14ac:dyDescent="0.25"/>
    <row r="1618" s="1" customFormat="1" ht="15.95" customHeight="1" x14ac:dyDescent="0.25"/>
    <row r="1619" s="1" customFormat="1" ht="15.95" customHeight="1" x14ac:dyDescent="0.25"/>
    <row r="1620" s="1" customFormat="1" ht="15.95" customHeight="1" x14ac:dyDescent="0.25"/>
    <row r="1621" s="1" customFormat="1" ht="15.95" customHeight="1" x14ac:dyDescent="0.25"/>
    <row r="1622" s="1" customFormat="1" ht="15.95" customHeight="1" x14ac:dyDescent="0.25"/>
    <row r="1623" s="1" customFormat="1" ht="15.95" customHeight="1" x14ac:dyDescent="0.25"/>
    <row r="1624" s="1" customFormat="1" ht="15.95" customHeight="1" x14ac:dyDescent="0.25"/>
    <row r="1625" s="1" customFormat="1" ht="15.95" customHeight="1" x14ac:dyDescent="0.25"/>
    <row r="1626" s="1" customFormat="1" ht="15.95" customHeight="1" x14ac:dyDescent="0.25"/>
    <row r="1627" s="1" customFormat="1" ht="15.95" customHeight="1" x14ac:dyDescent="0.25"/>
    <row r="1628" s="1" customFormat="1" ht="15.95" customHeight="1" x14ac:dyDescent="0.25"/>
    <row r="1629" s="1" customFormat="1" ht="15.95" customHeight="1" x14ac:dyDescent="0.25"/>
    <row r="1630" s="1" customFormat="1" ht="15.95" customHeight="1" x14ac:dyDescent="0.25"/>
    <row r="1631" s="1" customFormat="1" ht="15.95" customHeight="1" x14ac:dyDescent="0.25"/>
    <row r="1632" s="1" customFormat="1" ht="15.95" customHeight="1" x14ac:dyDescent="0.25"/>
    <row r="1633" s="1" customFormat="1" ht="15.95" customHeight="1" x14ac:dyDescent="0.25"/>
    <row r="1634" s="1" customFormat="1" ht="15.95" customHeight="1" x14ac:dyDescent="0.25"/>
    <row r="1635" s="1" customFormat="1" ht="15.95" customHeight="1" x14ac:dyDescent="0.25"/>
    <row r="1636" s="1" customFormat="1" ht="15.95" customHeight="1" x14ac:dyDescent="0.25"/>
    <row r="1637" s="1" customFormat="1" ht="15.95" customHeight="1" x14ac:dyDescent="0.25"/>
    <row r="1638" s="1" customFormat="1" ht="15.95" customHeight="1" x14ac:dyDescent="0.25"/>
    <row r="1639" s="1" customFormat="1" ht="15.95" customHeight="1" x14ac:dyDescent="0.25"/>
    <row r="1640" s="1" customFormat="1" ht="15.95" customHeight="1" x14ac:dyDescent="0.25"/>
    <row r="1641" s="1" customFormat="1" ht="15.95" customHeight="1" x14ac:dyDescent="0.25"/>
    <row r="1642" s="1" customFormat="1" ht="15.95" customHeight="1" x14ac:dyDescent="0.25"/>
    <row r="1643" s="1" customFormat="1" ht="15.95" customHeight="1" x14ac:dyDescent="0.25"/>
    <row r="1644" s="1" customFormat="1" ht="15.95" customHeight="1" x14ac:dyDescent="0.25"/>
    <row r="1645" s="1" customFormat="1" ht="15.95" customHeight="1" x14ac:dyDescent="0.25"/>
    <row r="1646" s="1" customFormat="1" ht="15.95" customHeight="1" x14ac:dyDescent="0.25"/>
    <row r="1647" s="1" customFormat="1" ht="15.95" customHeight="1" x14ac:dyDescent="0.25"/>
    <row r="1648" s="1" customFormat="1" ht="15.95" customHeight="1" x14ac:dyDescent="0.25"/>
    <row r="1649" s="1" customFormat="1" ht="15.95" customHeight="1" x14ac:dyDescent="0.25"/>
    <row r="1650" s="1" customFormat="1" ht="15.95" customHeight="1" x14ac:dyDescent="0.25"/>
    <row r="1651" s="1" customFormat="1" ht="15.95" customHeight="1" x14ac:dyDescent="0.25"/>
    <row r="1652" s="1" customFormat="1" ht="15.95" customHeight="1" x14ac:dyDescent="0.25"/>
    <row r="1653" s="1" customFormat="1" ht="15.95" customHeight="1" x14ac:dyDescent="0.25"/>
    <row r="1654" s="1" customFormat="1" ht="15.95" customHeight="1" x14ac:dyDescent="0.25"/>
    <row r="1655" s="1" customFormat="1" ht="15.95" customHeight="1" x14ac:dyDescent="0.25"/>
    <row r="1656" s="1" customFormat="1" ht="15.95" customHeight="1" x14ac:dyDescent="0.25"/>
    <row r="1657" s="1" customFormat="1" ht="15.95" customHeight="1" x14ac:dyDescent="0.25"/>
    <row r="1658" s="1" customFormat="1" ht="15.95" customHeight="1" x14ac:dyDescent="0.25"/>
    <row r="1659" s="1" customFormat="1" ht="15.95" customHeight="1" x14ac:dyDescent="0.25"/>
    <row r="1660" s="1" customFormat="1" ht="15.95" customHeight="1" x14ac:dyDescent="0.25"/>
    <row r="1661" s="1" customFormat="1" ht="15.95" customHeight="1" x14ac:dyDescent="0.25"/>
    <row r="1662" s="1" customFormat="1" ht="15.95" customHeight="1" x14ac:dyDescent="0.25"/>
    <row r="1663" s="1" customFormat="1" ht="15.95" customHeight="1" x14ac:dyDescent="0.25"/>
    <row r="1664" s="1" customFormat="1" ht="15.95" customHeight="1" x14ac:dyDescent="0.25"/>
    <row r="1665" s="1" customFormat="1" ht="15.95" customHeight="1" x14ac:dyDescent="0.25"/>
    <row r="1666" s="1" customFormat="1" ht="15.95" customHeight="1" x14ac:dyDescent="0.25"/>
    <row r="1667" s="1" customFormat="1" ht="15.95" customHeight="1" x14ac:dyDescent="0.25"/>
    <row r="1668" s="1" customFormat="1" ht="15.95" customHeight="1" x14ac:dyDescent="0.25"/>
    <row r="1669" s="1" customFormat="1" ht="15.95" customHeight="1" x14ac:dyDescent="0.25"/>
    <row r="1670" s="1" customFormat="1" ht="15.95" customHeight="1" x14ac:dyDescent="0.25"/>
    <row r="1671" s="1" customFormat="1" ht="15.95" customHeight="1" x14ac:dyDescent="0.25"/>
    <row r="1672" s="1" customFormat="1" ht="15.95" customHeight="1" x14ac:dyDescent="0.25"/>
    <row r="1673" s="1" customFormat="1" ht="15.95" customHeight="1" x14ac:dyDescent="0.25"/>
    <row r="1674" s="1" customFormat="1" ht="15.95" customHeight="1" x14ac:dyDescent="0.25"/>
    <row r="1675" s="1" customFormat="1" ht="15.95" customHeight="1" x14ac:dyDescent="0.25"/>
    <row r="1676" s="1" customFormat="1" ht="15.95" customHeight="1" x14ac:dyDescent="0.25"/>
    <row r="1677" s="1" customFormat="1" ht="15.95" customHeight="1" x14ac:dyDescent="0.25"/>
    <row r="1678" s="1" customFormat="1" ht="15.95" customHeight="1" x14ac:dyDescent="0.25"/>
    <row r="1679" s="1" customFormat="1" ht="15.95" customHeight="1" x14ac:dyDescent="0.25"/>
    <row r="1680" s="1" customFormat="1" ht="15.95" customHeight="1" x14ac:dyDescent="0.25"/>
    <row r="1681" s="1" customFormat="1" ht="15.95" customHeight="1" x14ac:dyDescent="0.25"/>
    <row r="1682" s="1" customFormat="1" ht="15.95" customHeight="1" x14ac:dyDescent="0.25"/>
    <row r="1683" s="1" customFormat="1" ht="15.95" customHeight="1" x14ac:dyDescent="0.25"/>
    <row r="1684" s="1" customFormat="1" ht="15.95" customHeight="1" x14ac:dyDescent="0.25"/>
    <row r="1685" s="1" customFormat="1" ht="15.95" customHeight="1" x14ac:dyDescent="0.25"/>
    <row r="1686" s="1" customFormat="1" ht="15.95" customHeight="1" x14ac:dyDescent="0.25"/>
    <row r="1687" s="1" customFormat="1" ht="15.95" customHeight="1" x14ac:dyDescent="0.25"/>
    <row r="1688" s="1" customFormat="1" ht="15.95" customHeight="1" x14ac:dyDescent="0.25"/>
    <row r="1689" s="1" customFormat="1" ht="15.95" customHeight="1" x14ac:dyDescent="0.25"/>
    <row r="1690" s="1" customFormat="1" ht="15.95" customHeight="1" x14ac:dyDescent="0.25"/>
    <row r="1691" s="1" customFormat="1" ht="15.95" customHeight="1" x14ac:dyDescent="0.25"/>
    <row r="1692" s="1" customFormat="1" ht="15.95" customHeight="1" x14ac:dyDescent="0.25"/>
    <row r="1693" s="1" customFormat="1" ht="15.95" customHeight="1" x14ac:dyDescent="0.25"/>
    <row r="1694" s="1" customFormat="1" ht="15.95" customHeight="1" x14ac:dyDescent="0.25"/>
    <row r="1695" s="1" customFormat="1" ht="15.95" customHeight="1" x14ac:dyDescent="0.25"/>
    <row r="1696" s="1" customFormat="1" ht="15.95" customHeight="1" x14ac:dyDescent="0.25"/>
    <row r="1697" s="1" customFormat="1" ht="15.95" customHeight="1" x14ac:dyDescent="0.25"/>
    <row r="1698" s="1" customFormat="1" ht="15.95" customHeight="1" x14ac:dyDescent="0.25"/>
    <row r="1699" s="1" customFormat="1" ht="15.95" customHeight="1" x14ac:dyDescent="0.25"/>
    <row r="1700" s="1" customFormat="1" ht="15.95" customHeight="1" x14ac:dyDescent="0.25"/>
    <row r="1701" s="1" customFormat="1" ht="15.95" customHeight="1" x14ac:dyDescent="0.25"/>
    <row r="1702" s="1" customFormat="1" ht="15.95" customHeight="1" x14ac:dyDescent="0.25"/>
    <row r="1703" s="1" customFormat="1" ht="15.95" customHeight="1" x14ac:dyDescent="0.25"/>
    <row r="1704" s="1" customFormat="1" ht="15.95" customHeight="1" x14ac:dyDescent="0.25"/>
    <row r="1705" s="1" customFormat="1" ht="15.95" customHeight="1" x14ac:dyDescent="0.25"/>
    <row r="1706" s="1" customFormat="1" ht="15.95" customHeight="1" x14ac:dyDescent="0.25"/>
    <row r="1707" s="1" customFormat="1" ht="15.95" customHeight="1" x14ac:dyDescent="0.25"/>
    <row r="1708" s="1" customFormat="1" ht="15.95" customHeight="1" x14ac:dyDescent="0.25"/>
    <row r="1709" s="1" customFormat="1" ht="15.95" customHeight="1" x14ac:dyDescent="0.25"/>
    <row r="1710" s="1" customFormat="1" ht="15.95" customHeight="1" x14ac:dyDescent="0.25"/>
    <row r="1711" s="1" customFormat="1" ht="15.95" customHeight="1" x14ac:dyDescent="0.25"/>
    <row r="1712" s="1" customFormat="1" ht="15.95" customHeight="1" x14ac:dyDescent="0.25"/>
    <row r="1713" s="1" customFormat="1" ht="15.95" customHeight="1" x14ac:dyDescent="0.25"/>
    <row r="1714" s="1" customFormat="1" ht="15.95" customHeight="1" x14ac:dyDescent="0.25"/>
    <row r="1715" s="1" customFormat="1" ht="15.95" customHeight="1" x14ac:dyDescent="0.25"/>
    <row r="1716" s="1" customFormat="1" ht="15.95" customHeight="1" x14ac:dyDescent="0.25"/>
    <row r="1717" s="1" customFormat="1" ht="15.95" customHeight="1" x14ac:dyDescent="0.25"/>
    <row r="1718" s="1" customFormat="1" ht="15.95" customHeight="1" x14ac:dyDescent="0.25"/>
    <row r="1719" s="1" customFormat="1" ht="15.95" customHeight="1" x14ac:dyDescent="0.25"/>
    <row r="1720" s="1" customFormat="1" ht="15.95" customHeight="1" x14ac:dyDescent="0.25"/>
    <row r="1721" s="1" customFormat="1" ht="15.95" customHeight="1" x14ac:dyDescent="0.25"/>
    <row r="1722" s="1" customFormat="1" ht="15.95" customHeight="1" x14ac:dyDescent="0.25"/>
    <row r="1723" s="1" customFormat="1" ht="15.95" customHeight="1" x14ac:dyDescent="0.25"/>
    <row r="1724" s="1" customFormat="1" ht="15.95" customHeight="1" x14ac:dyDescent="0.25"/>
    <row r="1725" s="1" customFormat="1" ht="15.95" customHeight="1" x14ac:dyDescent="0.25"/>
    <row r="1726" s="1" customFormat="1" ht="15.95" customHeight="1" x14ac:dyDescent="0.25"/>
    <row r="1727" s="1" customFormat="1" ht="15.95" customHeight="1" x14ac:dyDescent="0.25"/>
    <row r="1728" s="1" customFormat="1" ht="15.95" customHeight="1" x14ac:dyDescent="0.25"/>
    <row r="1729" s="1" customFormat="1" ht="15.95" customHeight="1" x14ac:dyDescent="0.25"/>
    <row r="1730" s="1" customFormat="1" ht="15.95" customHeight="1" x14ac:dyDescent="0.25"/>
    <row r="1731" s="1" customFormat="1" ht="15.95" customHeight="1" x14ac:dyDescent="0.25"/>
    <row r="1732" s="1" customFormat="1" ht="15.95" customHeight="1" x14ac:dyDescent="0.25"/>
    <row r="1733" s="1" customFormat="1" ht="15.95" customHeight="1" x14ac:dyDescent="0.25"/>
    <row r="1734" s="1" customFormat="1" ht="15.95" customHeight="1" x14ac:dyDescent="0.25"/>
    <row r="1735" s="1" customFormat="1" ht="15.95" customHeight="1" x14ac:dyDescent="0.25"/>
    <row r="1736" s="1" customFormat="1" ht="15.95" customHeight="1" x14ac:dyDescent="0.25"/>
    <row r="1737" s="1" customFormat="1" ht="15.95" customHeight="1" x14ac:dyDescent="0.25"/>
    <row r="1738" s="1" customFormat="1" ht="15.95" customHeight="1" x14ac:dyDescent="0.25"/>
    <row r="1739" s="1" customFormat="1" ht="15.95" customHeight="1" x14ac:dyDescent="0.25"/>
    <row r="1740" s="1" customFormat="1" ht="15.95" customHeight="1" x14ac:dyDescent="0.25"/>
    <row r="1741" s="1" customFormat="1" ht="15.95" customHeight="1" x14ac:dyDescent="0.25"/>
    <row r="1742" s="1" customFormat="1" ht="15.95" customHeight="1" x14ac:dyDescent="0.25"/>
    <row r="1743" s="1" customFormat="1" ht="15.95" customHeight="1" x14ac:dyDescent="0.25"/>
    <row r="1744" s="1" customFormat="1" ht="15.95" customHeight="1" x14ac:dyDescent="0.25"/>
    <row r="1745" s="1" customFormat="1" ht="15.95" customHeight="1" x14ac:dyDescent="0.25"/>
    <row r="1746" s="1" customFormat="1" ht="15.95" customHeight="1" x14ac:dyDescent="0.25"/>
    <row r="1747" s="1" customFormat="1" ht="15.95" customHeight="1" x14ac:dyDescent="0.25"/>
    <row r="1748" s="1" customFormat="1" ht="15.95" customHeight="1" x14ac:dyDescent="0.25"/>
    <row r="1749" s="1" customFormat="1" ht="15.95" customHeight="1" x14ac:dyDescent="0.25"/>
    <row r="1750" s="1" customFormat="1" ht="15.95" customHeight="1" x14ac:dyDescent="0.25"/>
    <row r="1751" s="1" customFormat="1" ht="15.95" customHeight="1" x14ac:dyDescent="0.25"/>
    <row r="1752" s="1" customFormat="1" ht="15.95" customHeight="1" x14ac:dyDescent="0.25"/>
    <row r="1753" s="1" customFormat="1" ht="15.95" customHeight="1" x14ac:dyDescent="0.25"/>
    <row r="1754" s="1" customFormat="1" ht="15.95" customHeight="1" x14ac:dyDescent="0.25"/>
    <row r="1755" s="1" customFormat="1" ht="15.95" customHeight="1" x14ac:dyDescent="0.25"/>
    <row r="1756" s="1" customFormat="1" ht="15.95" customHeight="1" x14ac:dyDescent="0.25"/>
    <row r="1757" s="1" customFormat="1" ht="15.95" customHeight="1" x14ac:dyDescent="0.25"/>
    <row r="1758" s="1" customFormat="1" ht="15.95" customHeight="1" x14ac:dyDescent="0.25"/>
    <row r="1759" s="1" customFormat="1" ht="15.95" customHeight="1" x14ac:dyDescent="0.25"/>
    <row r="1760" s="1" customFormat="1" ht="15.95" customHeight="1" x14ac:dyDescent="0.25"/>
    <row r="1761" s="1" customFormat="1" ht="15.95" customHeight="1" x14ac:dyDescent="0.25"/>
    <row r="1762" s="1" customFormat="1" ht="15.95" customHeight="1" x14ac:dyDescent="0.25"/>
    <row r="1763" s="1" customFormat="1" ht="15.95" customHeight="1" x14ac:dyDescent="0.25"/>
    <row r="1764" s="1" customFormat="1" ht="15.95" customHeight="1" x14ac:dyDescent="0.25"/>
    <row r="1765" s="1" customFormat="1" ht="15.95" customHeight="1" x14ac:dyDescent="0.25"/>
    <row r="1766" s="1" customFormat="1" ht="15.95" customHeight="1" x14ac:dyDescent="0.25"/>
    <row r="1767" s="1" customFormat="1" ht="15.95" customHeight="1" x14ac:dyDescent="0.25"/>
    <row r="1768" s="1" customFormat="1" ht="15.95" customHeight="1" x14ac:dyDescent="0.25"/>
    <row r="1769" s="1" customFormat="1" ht="15.95" customHeight="1" x14ac:dyDescent="0.25"/>
    <row r="1770" s="1" customFormat="1" ht="15.95" customHeight="1" x14ac:dyDescent="0.25"/>
    <row r="1771" s="1" customFormat="1" ht="15.95" customHeight="1" x14ac:dyDescent="0.25"/>
    <row r="1772" s="1" customFormat="1" ht="15.95" customHeight="1" x14ac:dyDescent="0.25"/>
    <row r="1773" s="1" customFormat="1" ht="15.95" customHeight="1" x14ac:dyDescent="0.25"/>
    <row r="1774" s="1" customFormat="1" ht="15.95" customHeight="1" x14ac:dyDescent="0.25"/>
    <row r="1775" s="1" customFormat="1" ht="15.95" customHeight="1" x14ac:dyDescent="0.25"/>
    <row r="1776" s="1" customFormat="1" ht="15.95" customHeight="1" x14ac:dyDescent="0.25"/>
    <row r="1777" s="1" customFormat="1" ht="15.95" customHeight="1" x14ac:dyDescent="0.25"/>
    <row r="1778" s="1" customFormat="1" ht="15.95" customHeight="1" x14ac:dyDescent="0.25"/>
    <row r="1779" s="1" customFormat="1" ht="15.95" customHeight="1" x14ac:dyDescent="0.25"/>
    <row r="1780" s="1" customFormat="1" ht="15.95" customHeight="1" x14ac:dyDescent="0.25"/>
    <row r="1781" s="1" customFormat="1" ht="15.95" customHeight="1" x14ac:dyDescent="0.25"/>
    <row r="1782" s="1" customFormat="1" ht="15.95" customHeight="1" x14ac:dyDescent="0.25"/>
    <row r="1783" s="1" customFormat="1" ht="15.95" customHeight="1" x14ac:dyDescent="0.25"/>
    <row r="1784" s="1" customFormat="1" ht="15.95" customHeight="1" x14ac:dyDescent="0.25"/>
    <row r="1785" s="1" customFormat="1" ht="15.95" customHeight="1" x14ac:dyDescent="0.25"/>
    <row r="1786" s="1" customFormat="1" ht="15.95" customHeight="1" x14ac:dyDescent="0.25"/>
    <row r="1787" s="1" customFormat="1" ht="15.95" customHeight="1" x14ac:dyDescent="0.25"/>
    <row r="1788" s="1" customFormat="1" ht="15.95" customHeight="1" x14ac:dyDescent="0.25"/>
    <row r="1789" s="1" customFormat="1" ht="15.95" customHeight="1" x14ac:dyDescent="0.25"/>
    <row r="1790" s="1" customFormat="1" ht="15.95" customHeight="1" x14ac:dyDescent="0.25"/>
    <row r="1791" s="1" customFormat="1" ht="15.95" customHeight="1" x14ac:dyDescent="0.25"/>
    <row r="1792" s="1" customFormat="1" ht="15.95" customHeight="1" x14ac:dyDescent="0.25"/>
    <row r="1793" s="1" customFormat="1" ht="15.95" customHeight="1" x14ac:dyDescent="0.25"/>
    <row r="1794" s="1" customFormat="1" ht="15.95" customHeight="1" x14ac:dyDescent="0.25"/>
    <row r="1795" s="1" customFormat="1" ht="15.95" customHeight="1" x14ac:dyDescent="0.25"/>
    <row r="1796" s="1" customFormat="1" ht="15.95" customHeight="1" x14ac:dyDescent="0.25"/>
    <row r="1797" s="1" customFormat="1" ht="15.95" customHeight="1" x14ac:dyDescent="0.25"/>
    <row r="1798" s="1" customFormat="1" ht="15.95" customHeight="1" x14ac:dyDescent="0.25"/>
    <row r="1799" s="1" customFormat="1" ht="15.95" customHeight="1" x14ac:dyDescent="0.25"/>
    <row r="1800" s="1" customFormat="1" ht="15.95" customHeight="1" x14ac:dyDescent="0.25"/>
    <row r="1801" s="1" customFormat="1" ht="15.95" customHeight="1" x14ac:dyDescent="0.25"/>
    <row r="1802" s="1" customFormat="1" ht="15.95" customHeight="1" x14ac:dyDescent="0.25"/>
    <row r="1803" s="1" customFormat="1" ht="15.95" customHeight="1" x14ac:dyDescent="0.25"/>
    <row r="1804" s="1" customFormat="1" ht="15.95" customHeight="1" x14ac:dyDescent="0.25"/>
    <row r="1805" s="1" customFormat="1" ht="15.95" customHeight="1" x14ac:dyDescent="0.25"/>
    <row r="1806" s="1" customFormat="1" ht="15.95" customHeight="1" x14ac:dyDescent="0.25"/>
    <row r="1807" s="1" customFormat="1" ht="15.95" customHeight="1" x14ac:dyDescent="0.25"/>
    <row r="1808" s="1" customFormat="1" ht="15.95" customHeight="1" x14ac:dyDescent="0.25"/>
    <row r="1809" s="1" customFormat="1" ht="15.95" customHeight="1" x14ac:dyDescent="0.25"/>
    <row r="1810" s="1" customFormat="1" ht="15.95" customHeight="1" x14ac:dyDescent="0.25"/>
    <row r="1811" s="1" customFormat="1" ht="15.95" customHeight="1" x14ac:dyDescent="0.25"/>
    <row r="1812" s="1" customFormat="1" ht="15.95" customHeight="1" x14ac:dyDescent="0.25"/>
    <row r="1813" s="1" customFormat="1" ht="15.95" customHeight="1" x14ac:dyDescent="0.25"/>
    <row r="1814" s="1" customFormat="1" ht="15.95" customHeight="1" x14ac:dyDescent="0.25"/>
    <row r="1815" s="1" customFormat="1" ht="15.95" customHeight="1" x14ac:dyDescent="0.25"/>
    <row r="1816" s="1" customFormat="1" ht="15.95" customHeight="1" x14ac:dyDescent="0.25"/>
    <row r="1817" s="1" customFormat="1" ht="15.95" customHeight="1" x14ac:dyDescent="0.25"/>
    <row r="1818" s="1" customFormat="1" ht="15.95" customHeight="1" x14ac:dyDescent="0.25"/>
    <row r="1819" s="1" customFormat="1" ht="15.95" customHeight="1" x14ac:dyDescent="0.25"/>
    <row r="1820" s="1" customFormat="1" ht="15.95" customHeight="1" x14ac:dyDescent="0.25"/>
    <row r="1821" s="1" customFormat="1" ht="15.95" customHeight="1" x14ac:dyDescent="0.25"/>
    <row r="1822" s="1" customFormat="1" ht="15.95" customHeight="1" x14ac:dyDescent="0.25"/>
    <row r="1823" s="1" customFormat="1" ht="15.95" customHeight="1" x14ac:dyDescent="0.25"/>
    <row r="1824" s="1" customFormat="1" ht="15.95" customHeight="1" x14ac:dyDescent="0.25"/>
    <row r="1825" s="1" customFormat="1" ht="15.95" customHeight="1" x14ac:dyDescent="0.25"/>
    <row r="1826" s="1" customFormat="1" ht="15.95" customHeight="1" x14ac:dyDescent="0.25"/>
    <row r="1827" s="1" customFormat="1" ht="15.95" customHeight="1" x14ac:dyDescent="0.25"/>
    <row r="1828" s="1" customFormat="1" ht="15.95" customHeight="1" x14ac:dyDescent="0.25"/>
    <row r="1829" s="1" customFormat="1" ht="15.95" customHeight="1" x14ac:dyDescent="0.25"/>
    <row r="1830" s="1" customFormat="1" ht="15.95" customHeight="1" x14ac:dyDescent="0.25"/>
    <row r="1831" s="1" customFormat="1" ht="15.95" customHeight="1" x14ac:dyDescent="0.25"/>
    <row r="1832" s="1" customFormat="1" ht="15.95" customHeight="1" x14ac:dyDescent="0.25"/>
    <row r="1833" s="1" customFormat="1" ht="15.95" customHeight="1" x14ac:dyDescent="0.25"/>
    <row r="1834" s="1" customFormat="1" ht="15.95" customHeight="1" x14ac:dyDescent="0.25"/>
    <row r="1835" s="1" customFormat="1" ht="15.95" customHeight="1" x14ac:dyDescent="0.25"/>
    <row r="1836" s="1" customFormat="1" ht="15.95" customHeight="1" x14ac:dyDescent="0.25"/>
    <row r="1837" s="1" customFormat="1" ht="15.95" customHeight="1" x14ac:dyDescent="0.25"/>
    <row r="1838" s="1" customFormat="1" ht="15.95" customHeight="1" x14ac:dyDescent="0.25"/>
    <row r="1839" s="1" customFormat="1" ht="15.95" customHeight="1" x14ac:dyDescent="0.25"/>
    <row r="1840" s="1" customFormat="1" ht="15.95" customHeight="1" x14ac:dyDescent="0.25"/>
    <row r="1841" s="1" customFormat="1" ht="15.95" customHeight="1" x14ac:dyDescent="0.25"/>
    <row r="1842" s="1" customFormat="1" ht="15.95" customHeight="1" x14ac:dyDescent="0.25"/>
    <row r="1843" s="1" customFormat="1" ht="15.95" customHeight="1" x14ac:dyDescent="0.25"/>
    <row r="1844" s="1" customFormat="1" ht="15.95" customHeight="1" x14ac:dyDescent="0.25"/>
    <row r="1845" s="1" customFormat="1" ht="15.95" customHeight="1" x14ac:dyDescent="0.25"/>
    <row r="1846" s="1" customFormat="1" ht="15.95" customHeight="1" x14ac:dyDescent="0.25"/>
    <row r="1847" s="1" customFormat="1" ht="15.95" customHeight="1" x14ac:dyDescent="0.25"/>
    <row r="1848" s="1" customFormat="1" ht="15.95" customHeight="1" x14ac:dyDescent="0.25"/>
    <row r="1849" s="1" customFormat="1" ht="15.95" customHeight="1" x14ac:dyDescent="0.25"/>
    <row r="1850" s="1" customFormat="1" ht="15.95" customHeight="1" x14ac:dyDescent="0.25"/>
    <row r="1851" s="1" customFormat="1" ht="15.95" customHeight="1" x14ac:dyDescent="0.25"/>
    <row r="1852" s="1" customFormat="1" ht="15.95" customHeight="1" x14ac:dyDescent="0.25"/>
    <row r="1853" s="1" customFormat="1" ht="15.95" customHeight="1" x14ac:dyDescent="0.25"/>
    <row r="1854" s="1" customFormat="1" ht="15.95" customHeight="1" x14ac:dyDescent="0.25"/>
    <row r="1855" s="1" customFormat="1" ht="15.95" customHeight="1" x14ac:dyDescent="0.25"/>
    <row r="1856" s="1" customFormat="1" ht="15.95" customHeight="1" x14ac:dyDescent="0.25"/>
    <row r="1857" s="1" customFormat="1" ht="15.95" customHeight="1" x14ac:dyDescent="0.25"/>
    <row r="1858" s="1" customFormat="1" ht="15.95" customHeight="1" x14ac:dyDescent="0.25"/>
    <row r="1859" s="1" customFormat="1" ht="15.95" customHeight="1" x14ac:dyDescent="0.25"/>
    <row r="1860" s="1" customFormat="1" ht="15.95" customHeight="1" x14ac:dyDescent="0.25"/>
    <row r="1861" s="1" customFormat="1" ht="15.95" customHeight="1" x14ac:dyDescent="0.25"/>
    <row r="1862" s="1" customFormat="1" ht="15.95" customHeight="1" x14ac:dyDescent="0.25"/>
    <row r="1863" s="1" customFormat="1" ht="15.95" customHeight="1" x14ac:dyDescent="0.25"/>
    <row r="1864" s="1" customFormat="1" ht="15.95" customHeight="1" x14ac:dyDescent="0.25"/>
    <row r="1865" s="1" customFormat="1" ht="15.95" customHeight="1" x14ac:dyDescent="0.25"/>
    <row r="1866" s="1" customFormat="1" ht="15.95" customHeight="1" x14ac:dyDescent="0.25"/>
    <row r="1867" s="1" customFormat="1" ht="15.95" customHeight="1" x14ac:dyDescent="0.25"/>
    <row r="1868" s="1" customFormat="1" ht="15.95" customHeight="1" x14ac:dyDescent="0.25"/>
    <row r="1869" s="1" customFormat="1" ht="15.95" customHeight="1" x14ac:dyDescent="0.25"/>
    <row r="1870" s="1" customFormat="1" ht="15.95" customHeight="1" x14ac:dyDescent="0.25"/>
    <row r="1871" s="1" customFormat="1" ht="15.95" customHeight="1" x14ac:dyDescent="0.25"/>
    <row r="1872" s="1" customFormat="1" ht="15.95" customHeight="1" x14ac:dyDescent="0.25"/>
    <row r="1873" s="1" customFormat="1" ht="15.95" customHeight="1" x14ac:dyDescent="0.25"/>
    <row r="1874" s="1" customFormat="1" ht="15.95" customHeight="1" x14ac:dyDescent="0.25"/>
    <row r="1875" s="1" customFormat="1" ht="15.95" customHeight="1" x14ac:dyDescent="0.25"/>
    <row r="1876" s="1" customFormat="1" ht="15.95" customHeight="1" x14ac:dyDescent="0.25"/>
    <row r="1877" s="1" customFormat="1" ht="15.95" customHeight="1" x14ac:dyDescent="0.25"/>
    <row r="1878" s="1" customFormat="1" ht="15.95" customHeight="1" x14ac:dyDescent="0.25"/>
    <row r="1879" s="1" customFormat="1" ht="15.95" customHeight="1" x14ac:dyDescent="0.25"/>
    <row r="1880" s="1" customFormat="1" ht="15.95" customHeight="1" x14ac:dyDescent="0.25"/>
    <row r="1881" s="1" customFormat="1" ht="15.95" customHeight="1" x14ac:dyDescent="0.25"/>
    <row r="1882" s="1" customFormat="1" ht="15.95" customHeight="1" x14ac:dyDescent="0.25"/>
    <row r="1883" s="1" customFormat="1" ht="15.95" customHeight="1" x14ac:dyDescent="0.25"/>
    <row r="1884" s="1" customFormat="1" ht="15.95" customHeight="1" x14ac:dyDescent="0.25"/>
    <row r="1885" s="1" customFormat="1" ht="15.95" customHeight="1" x14ac:dyDescent="0.25"/>
    <row r="1886" s="1" customFormat="1" ht="15.95" customHeight="1" x14ac:dyDescent="0.25"/>
    <row r="1887" s="1" customFormat="1" ht="15.95" customHeight="1" x14ac:dyDescent="0.25"/>
    <row r="1888" s="1" customFormat="1" ht="15.95" customHeight="1" x14ac:dyDescent="0.25"/>
    <row r="1889" s="1" customFormat="1" ht="15.95" customHeight="1" x14ac:dyDescent="0.25"/>
    <row r="1890" s="1" customFormat="1" ht="15.95" customHeight="1" x14ac:dyDescent="0.25"/>
    <row r="1891" s="1" customFormat="1" ht="15.95" customHeight="1" x14ac:dyDescent="0.25"/>
    <row r="1892" s="1" customFormat="1" ht="15.95" customHeight="1" x14ac:dyDescent="0.25"/>
    <row r="1893" s="1" customFormat="1" ht="15.95" customHeight="1" x14ac:dyDescent="0.25"/>
    <row r="1894" s="1" customFormat="1" ht="15.95" customHeight="1" x14ac:dyDescent="0.25"/>
    <row r="1895" s="1" customFormat="1" ht="15.95" customHeight="1" x14ac:dyDescent="0.25"/>
    <row r="1896" s="1" customFormat="1" ht="15.95" customHeight="1" x14ac:dyDescent="0.25"/>
    <row r="1897" s="1" customFormat="1" ht="15.95" customHeight="1" x14ac:dyDescent="0.25"/>
    <row r="1898" s="1" customFormat="1" ht="15.95" customHeight="1" x14ac:dyDescent="0.25"/>
    <row r="1899" s="1" customFormat="1" ht="15.95" customHeight="1" x14ac:dyDescent="0.25"/>
    <row r="1900" s="1" customFormat="1" ht="15.95" customHeight="1" x14ac:dyDescent="0.25"/>
    <row r="1901" s="1" customFormat="1" ht="15.95" customHeight="1" x14ac:dyDescent="0.25"/>
    <row r="1902" s="1" customFormat="1" ht="15.95" customHeight="1" x14ac:dyDescent="0.25"/>
    <row r="1903" s="1" customFormat="1" ht="15.95" customHeight="1" x14ac:dyDescent="0.25"/>
    <row r="1904" s="1" customFormat="1" ht="15.95" customHeight="1" x14ac:dyDescent="0.25"/>
    <row r="1905" s="1" customFormat="1" ht="15.95" customHeight="1" x14ac:dyDescent="0.25"/>
    <row r="1906" s="1" customFormat="1" ht="15.95" customHeight="1" x14ac:dyDescent="0.25"/>
    <row r="1907" s="1" customFormat="1" ht="15.95" customHeight="1" x14ac:dyDescent="0.25"/>
    <row r="1908" s="1" customFormat="1" ht="15.95" customHeight="1" x14ac:dyDescent="0.25"/>
    <row r="1909" s="1" customFormat="1" ht="15.95" customHeight="1" x14ac:dyDescent="0.25"/>
    <row r="1910" s="1" customFormat="1" ht="15.95" customHeight="1" x14ac:dyDescent="0.25"/>
    <row r="1911" s="1" customFormat="1" ht="15.95" customHeight="1" x14ac:dyDescent="0.25"/>
    <row r="1912" s="1" customFormat="1" ht="15.95" customHeight="1" x14ac:dyDescent="0.25"/>
    <row r="1913" s="1" customFormat="1" ht="15.95" customHeight="1" x14ac:dyDescent="0.25"/>
    <row r="1914" s="1" customFormat="1" ht="15.95" customHeight="1" x14ac:dyDescent="0.25"/>
    <row r="1915" s="1" customFormat="1" ht="15.95" customHeight="1" x14ac:dyDescent="0.25"/>
    <row r="1916" s="1" customFormat="1" ht="15.95" customHeight="1" x14ac:dyDescent="0.25"/>
    <row r="1917" s="1" customFormat="1" ht="15.95" customHeight="1" x14ac:dyDescent="0.25"/>
    <row r="1918" s="1" customFormat="1" ht="15.95" customHeight="1" x14ac:dyDescent="0.25"/>
    <row r="1919" s="1" customFormat="1" ht="15.95" customHeight="1" x14ac:dyDescent="0.25"/>
    <row r="1920" s="1" customFormat="1" ht="15.95" customHeight="1" x14ac:dyDescent="0.25"/>
    <row r="1921" s="1" customFormat="1" ht="15.95" customHeight="1" x14ac:dyDescent="0.25"/>
    <row r="1922" s="1" customFormat="1" ht="15.95" customHeight="1" x14ac:dyDescent="0.25"/>
    <row r="1923" s="1" customFormat="1" ht="15.95" customHeight="1" x14ac:dyDescent="0.25"/>
    <row r="1924" s="1" customFormat="1" ht="15.95" customHeight="1" x14ac:dyDescent="0.25"/>
    <row r="1925" s="1" customFormat="1" ht="15.95" customHeight="1" x14ac:dyDescent="0.25"/>
    <row r="1926" s="1" customFormat="1" ht="15.95" customHeight="1" x14ac:dyDescent="0.25"/>
    <row r="1927" s="1" customFormat="1" ht="15.95" customHeight="1" x14ac:dyDescent="0.25"/>
    <row r="1928" s="1" customFormat="1" ht="15.95" customHeight="1" x14ac:dyDescent="0.25"/>
    <row r="1929" s="1" customFormat="1" ht="15.95" customHeight="1" x14ac:dyDescent="0.25"/>
    <row r="1930" s="1" customFormat="1" ht="15.95" customHeight="1" x14ac:dyDescent="0.25"/>
    <row r="1931" s="1" customFormat="1" ht="15.95" customHeight="1" x14ac:dyDescent="0.25"/>
    <row r="1932" s="1" customFormat="1" ht="15.95" customHeight="1" x14ac:dyDescent="0.25"/>
    <row r="1933" s="1" customFormat="1" ht="15.95" customHeight="1" x14ac:dyDescent="0.25"/>
    <row r="1934" s="1" customFormat="1" ht="15.95" customHeight="1" x14ac:dyDescent="0.25"/>
    <row r="1935" s="1" customFormat="1" ht="15.95" customHeight="1" x14ac:dyDescent="0.25"/>
    <row r="1936" s="1" customFormat="1" ht="15.95" customHeight="1" x14ac:dyDescent="0.25"/>
    <row r="1937" s="1" customFormat="1" ht="15.95" customHeight="1" x14ac:dyDescent="0.25"/>
    <row r="1938" s="1" customFormat="1" ht="15.95" customHeight="1" x14ac:dyDescent="0.25"/>
    <row r="1939" s="1" customFormat="1" ht="15.95" customHeight="1" x14ac:dyDescent="0.25"/>
    <row r="1940" s="1" customFormat="1" ht="15.95" customHeight="1" x14ac:dyDescent="0.25"/>
    <row r="1941" s="1" customFormat="1" ht="15.95" customHeight="1" x14ac:dyDescent="0.25"/>
    <row r="1942" s="1" customFormat="1" ht="15.95" customHeight="1" x14ac:dyDescent="0.25"/>
    <row r="1943" s="1" customFormat="1" ht="15.95" customHeight="1" x14ac:dyDescent="0.25"/>
    <row r="1944" s="1" customFormat="1" ht="15.95" customHeight="1" x14ac:dyDescent="0.25"/>
    <row r="1945" s="1" customFormat="1" ht="15.95" customHeight="1" x14ac:dyDescent="0.25"/>
    <row r="1946" s="1" customFormat="1" ht="15.95" customHeight="1" x14ac:dyDescent="0.25"/>
    <row r="1947" s="1" customFormat="1" ht="15.95" customHeight="1" x14ac:dyDescent="0.25"/>
    <row r="1948" s="1" customFormat="1" ht="15.95" customHeight="1" x14ac:dyDescent="0.25"/>
    <row r="1949" s="1" customFormat="1" ht="15.95" customHeight="1" x14ac:dyDescent="0.25"/>
    <row r="1950" s="1" customFormat="1" ht="15.95" customHeight="1" x14ac:dyDescent="0.25"/>
    <row r="1951" s="1" customFormat="1" ht="15.95" customHeight="1" x14ac:dyDescent="0.25"/>
    <row r="1952" s="1" customFormat="1" ht="15.95" customHeight="1" x14ac:dyDescent="0.25"/>
    <row r="1953" s="1" customFormat="1" ht="15.95" customHeight="1" x14ac:dyDescent="0.25"/>
    <row r="1954" s="1" customFormat="1" ht="15.95" customHeight="1" x14ac:dyDescent="0.25"/>
    <row r="1955" s="1" customFormat="1" ht="15.95" customHeight="1" x14ac:dyDescent="0.25"/>
    <row r="1956" s="1" customFormat="1" ht="15.95" customHeight="1" x14ac:dyDescent="0.25"/>
    <row r="1957" s="1" customFormat="1" ht="15.95" customHeight="1" x14ac:dyDescent="0.25"/>
    <row r="1958" s="1" customFormat="1" ht="15.95" customHeight="1" x14ac:dyDescent="0.25"/>
    <row r="1959" s="1" customFormat="1" ht="15.95" customHeight="1" x14ac:dyDescent="0.25"/>
    <row r="1960" s="1" customFormat="1" ht="15.95" customHeight="1" x14ac:dyDescent="0.25"/>
    <row r="1961" s="1" customFormat="1" ht="15.95" customHeight="1" x14ac:dyDescent="0.25"/>
    <row r="1962" s="1" customFormat="1" ht="15.95" customHeight="1" x14ac:dyDescent="0.25"/>
    <row r="1963" s="1" customFormat="1" ht="15.95" customHeight="1" x14ac:dyDescent="0.25"/>
    <row r="1964" s="1" customFormat="1" ht="15.95" customHeight="1" x14ac:dyDescent="0.25"/>
    <row r="1965" s="1" customFormat="1" ht="15.95" customHeight="1" x14ac:dyDescent="0.25"/>
    <row r="1966" s="1" customFormat="1" ht="15.95" customHeight="1" x14ac:dyDescent="0.25"/>
    <row r="1967" s="1" customFormat="1" ht="15.95" customHeight="1" x14ac:dyDescent="0.25"/>
    <row r="1968" s="1" customFormat="1" ht="15.95" customHeight="1" x14ac:dyDescent="0.25"/>
    <row r="1969" s="1" customFormat="1" ht="15.95" customHeight="1" x14ac:dyDescent="0.25"/>
    <row r="1970" s="1" customFormat="1" ht="15.95" customHeight="1" x14ac:dyDescent="0.25"/>
    <row r="1971" s="1" customFormat="1" ht="15.95" customHeight="1" x14ac:dyDescent="0.25"/>
    <row r="1972" s="1" customFormat="1" ht="15.95" customHeight="1" x14ac:dyDescent="0.25"/>
    <row r="1973" s="1" customFormat="1" ht="15.95" customHeight="1" x14ac:dyDescent="0.25"/>
    <row r="1974" s="1" customFormat="1" ht="15.95" customHeight="1" x14ac:dyDescent="0.25"/>
    <row r="1975" s="1" customFormat="1" ht="15.95" customHeight="1" x14ac:dyDescent="0.25"/>
    <row r="1976" s="1" customFormat="1" ht="15.95" customHeight="1" x14ac:dyDescent="0.25"/>
    <row r="1977" s="1" customFormat="1" ht="15.95" customHeight="1" x14ac:dyDescent="0.25"/>
    <row r="1978" s="1" customFormat="1" ht="15.95" customHeight="1" x14ac:dyDescent="0.25"/>
    <row r="1979" s="1" customFormat="1" ht="15.95" customHeight="1" x14ac:dyDescent="0.25"/>
    <row r="1980" s="1" customFormat="1" ht="15.95" customHeight="1" x14ac:dyDescent="0.25"/>
    <row r="1981" s="1" customFormat="1" ht="15.95" customHeight="1" x14ac:dyDescent="0.25"/>
    <row r="1982" s="1" customFormat="1" ht="15.95" customHeight="1" x14ac:dyDescent="0.25"/>
    <row r="1983" s="1" customFormat="1" ht="15.95" customHeight="1" x14ac:dyDescent="0.25"/>
    <row r="1984" s="1" customFormat="1" ht="15.95" customHeight="1" x14ac:dyDescent="0.25"/>
    <row r="1985" s="1" customFormat="1" ht="15.95" customHeight="1" x14ac:dyDescent="0.25"/>
    <row r="1986" s="1" customFormat="1" ht="15.95" customHeight="1" x14ac:dyDescent="0.25"/>
    <row r="1987" s="1" customFormat="1" ht="15.95" customHeight="1" x14ac:dyDescent="0.25"/>
    <row r="1988" s="1" customFormat="1" ht="15.95" customHeight="1" x14ac:dyDescent="0.25"/>
    <row r="1989" s="1" customFormat="1" ht="15.95" customHeight="1" x14ac:dyDescent="0.25"/>
    <row r="1990" s="1" customFormat="1" ht="15.95" customHeight="1" x14ac:dyDescent="0.25"/>
    <row r="1991" s="1" customFormat="1" ht="15.95" customHeight="1" x14ac:dyDescent="0.25"/>
    <row r="1992" s="1" customFormat="1" ht="15.95" customHeight="1" x14ac:dyDescent="0.25"/>
    <row r="1993" s="1" customFormat="1" ht="15.95" customHeight="1" x14ac:dyDescent="0.25"/>
    <row r="1994" s="1" customFormat="1" ht="15.95" customHeight="1" x14ac:dyDescent="0.25"/>
    <row r="1995" s="1" customFormat="1" ht="15.95" customHeight="1" x14ac:dyDescent="0.25"/>
    <row r="1996" s="1" customFormat="1" ht="15.95" customHeight="1" x14ac:dyDescent="0.25"/>
    <row r="1997" s="1" customFormat="1" ht="15.95" customHeight="1" x14ac:dyDescent="0.25"/>
    <row r="1998" s="1" customFormat="1" ht="15.95" customHeight="1" x14ac:dyDescent="0.25"/>
    <row r="1999" s="1" customFormat="1" ht="15.95" customHeight="1" x14ac:dyDescent="0.25"/>
    <row r="2000" s="1" customFormat="1" ht="15.95" customHeight="1" x14ac:dyDescent="0.25"/>
    <row r="2001" s="1" customFormat="1" ht="15.95" customHeight="1" x14ac:dyDescent="0.25"/>
    <row r="2002" s="1" customFormat="1" ht="15.95" customHeight="1" x14ac:dyDescent="0.25"/>
    <row r="2003" s="1" customFormat="1" ht="15.95" customHeight="1" x14ac:dyDescent="0.25"/>
    <row r="2004" s="1" customFormat="1" ht="15.95" customHeight="1" x14ac:dyDescent="0.25"/>
    <row r="2005" s="1" customFormat="1" ht="15.95" customHeight="1" x14ac:dyDescent="0.25"/>
    <row r="2006" s="1" customFormat="1" ht="15.95" customHeight="1" x14ac:dyDescent="0.25"/>
    <row r="2007" s="1" customFormat="1" ht="15.95" customHeight="1" x14ac:dyDescent="0.25"/>
    <row r="2008" s="1" customFormat="1" ht="15.95" customHeight="1" x14ac:dyDescent="0.25"/>
    <row r="2009" s="1" customFormat="1" ht="15.95" customHeight="1" x14ac:dyDescent="0.25"/>
    <row r="2010" s="1" customFormat="1" ht="15.95" customHeight="1" x14ac:dyDescent="0.25"/>
    <row r="2011" s="1" customFormat="1" ht="15.95" customHeight="1" x14ac:dyDescent="0.25"/>
    <row r="2012" s="1" customFormat="1" ht="15.95" customHeight="1" x14ac:dyDescent="0.25"/>
    <row r="2013" s="1" customFormat="1" ht="15.95" customHeight="1" x14ac:dyDescent="0.25"/>
    <row r="2014" s="1" customFormat="1" ht="15.95" customHeight="1" x14ac:dyDescent="0.25"/>
    <row r="2015" s="1" customFormat="1" ht="15.95" customHeight="1" x14ac:dyDescent="0.25"/>
    <row r="2016" s="1" customFormat="1" ht="15.95" customHeight="1" x14ac:dyDescent="0.25"/>
    <row r="2017" s="1" customFormat="1" ht="15.95" customHeight="1" x14ac:dyDescent="0.25"/>
    <row r="2018" s="1" customFormat="1" ht="15.95" customHeight="1" x14ac:dyDescent="0.25"/>
    <row r="2019" s="1" customFormat="1" ht="15.95" customHeight="1" x14ac:dyDescent="0.25"/>
    <row r="2020" s="1" customFormat="1" ht="15.95" customHeight="1" x14ac:dyDescent="0.25"/>
    <row r="2021" s="1" customFormat="1" ht="15.95" customHeight="1" x14ac:dyDescent="0.25"/>
    <row r="2022" s="1" customFormat="1" ht="15.95" customHeight="1" x14ac:dyDescent="0.25"/>
    <row r="2023" s="1" customFormat="1" ht="15.95" customHeight="1" x14ac:dyDescent="0.25"/>
    <row r="2024" s="1" customFormat="1" ht="15.95" customHeight="1" x14ac:dyDescent="0.25"/>
    <row r="2025" s="1" customFormat="1" ht="15.95" customHeight="1" x14ac:dyDescent="0.25"/>
    <row r="2026" s="1" customFormat="1" ht="15.95" customHeight="1" x14ac:dyDescent="0.25"/>
    <row r="2027" s="1" customFormat="1" ht="15.95" customHeight="1" x14ac:dyDescent="0.25"/>
    <row r="2028" s="1" customFormat="1" ht="15.95" customHeight="1" x14ac:dyDescent="0.25"/>
    <row r="2029" s="1" customFormat="1" ht="15.95" customHeight="1" x14ac:dyDescent="0.25"/>
    <row r="2030" s="1" customFormat="1" ht="15.95" customHeight="1" x14ac:dyDescent="0.25"/>
    <row r="2031" s="1" customFormat="1" ht="15.95" customHeight="1" x14ac:dyDescent="0.25"/>
    <row r="2032" s="1" customFormat="1" ht="15.95" customHeight="1" x14ac:dyDescent="0.25"/>
    <row r="2033" s="1" customFormat="1" ht="15.95" customHeight="1" x14ac:dyDescent="0.25"/>
    <row r="2034" s="1" customFormat="1" ht="15.95" customHeight="1" x14ac:dyDescent="0.25"/>
    <row r="2035" s="1" customFormat="1" ht="15.95" customHeight="1" x14ac:dyDescent="0.25"/>
    <row r="2036" s="1" customFormat="1" ht="15.95" customHeight="1" x14ac:dyDescent="0.25"/>
    <row r="2037" s="1" customFormat="1" ht="15.95" customHeight="1" x14ac:dyDescent="0.25"/>
    <row r="2038" s="1" customFormat="1" ht="15.95" customHeight="1" x14ac:dyDescent="0.25"/>
    <row r="2039" s="1" customFormat="1" ht="15.95" customHeight="1" x14ac:dyDescent="0.25"/>
    <row r="2040" s="1" customFormat="1" ht="15.95" customHeight="1" x14ac:dyDescent="0.25"/>
    <row r="2041" s="1" customFormat="1" ht="15.95" customHeight="1" x14ac:dyDescent="0.25"/>
    <row r="2042" s="1" customFormat="1" ht="15.95" customHeight="1" x14ac:dyDescent="0.25"/>
    <row r="2043" s="1" customFormat="1" ht="15.95" customHeight="1" x14ac:dyDescent="0.25"/>
    <row r="2044" s="1" customFormat="1" ht="15.95" customHeight="1" x14ac:dyDescent="0.25"/>
    <row r="2045" s="1" customFormat="1" ht="15.95" customHeight="1" x14ac:dyDescent="0.25"/>
    <row r="2046" s="1" customFormat="1" ht="15.95" customHeight="1" x14ac:dyDescent="0.25"/>
    <row r="2047" s="1" customFormat="1" ht="15.95" customHeight="1" x14ac:dyDescent="0.25"/>
    <row r="2048" s="1" customFormat="1" ht="15.95" customHeight="1" x14ac:dyDescent="0.25"/>
    <row r="2049" s="1" customFormat="1" ht="15.95" customHeight="1" x14ac:dyDescent="0.25"/>
    <row r="2050" s="1" customFormat="1" ht="15.95" customHeight="1" x14ac:dyDescent="0.25"/>
    <row r="2051" s="1" customFormat="1" ht="15.95" customHeight="1" x14ac:dyDescent="0.25"/>
    <row r="2052" s="1" customFormat="1" ht="15.95" customHeight="1" x14ac:dyDescent="0.25"/>
    <row r="2053" s="1" customFormat="1" ht="15.95" customHeight="1" x14ac:dyDescent="0.25"/>
    <row r="2054" s="1" customFormat="1" ht="15.95" customHeight="1" x14ac:dyDescent="0.25"/>
    <row r="2055" s="1" customFormat="1" ht="15.95" customHeight="1" x14ac:dyDescent="0.25"/>
    <row r="2056" s="1" customFormat="1" ht="15.95" customHeight="1" x14ac:dyDescent="0.25"/>
    <row r="2057" s="1" customFormat="1" ht="15.95" customHeight="1" x14ac:dyDescent="0.25"/>
    <row r="2058" s="1" customFormat="1" ht="15.95" customHeight="1" x14ac:dyDescent="0.25"/>
    <row r="2059" s="1" customFormat="1" ht="15.95" customHeight="1" x14ac:dyDescent="0.25"/>
    <row r="2060" s="1" customFormat="1" ht="15.95" customHeight="1" x14ac:dyDescent="0.25"/>
    <row r="2061" s="1" customFormat="1" ht="15.95" customHeight="1" x14ac:dyDescent="0.25"/>
    <row r="2062" s="1" customFormat="1" ht="15.95" customHeight="1" x14ac:dyDescent="0.25"/>
    <row r="2063" s="1" customFormat="1" ht="15.95" customHeight="1" x14ac:dyDescent="0.25"/>
    <row r="2064" s="1" customFormat="1" ht="15.95" customHeight="1" x14ac:dyDescent="0.25"/>
    <row r="2065" s="1" customFormat="1" ht="15.95" customHeight="1" x14ac:dyDescent="0.25"/>
    <row r="2066" s="1" customFormat="1" ht="15.95" customHeight="1" x14ac:dyDescent="0.25"/>
    <row r="2067" s="1" customFormat="1" ht="15.95" customHeight="1" x14ac:dyDescent="0.25"/>
    <row r="2068" s="1" customFormat="1" ht="15.95" customHeight="1" x14ac:dyDescent="0.25"/>
    <row r="2069" s="1" customFormat="1" ht="15.95" customHeight="1" x14ac:dyDescent="0.25"/>
    <row r="2070" s="1" customFormat="1" ht="15.95" customHeight="1" x14ac:dyDescent="0.25"/>
    <row r="2071" s="1" customFormat="1" ht="15.95" customHeight="1" x14ac:dyDescent="0.25"/>
    <row r="2072" s="1" customFormat="1" ht="15.95" customHeight="1" x14ac:dyDescent="0.25"/>
    <row r="2073" s="1" customFormat="1" ht="15.95" customHeight="1" x14ac:dyDescent="0.25"/>
    <row r="2074" s="1" customFormat="1" ht="15.95" customHeight="1" x14ac:dyDescent="0.25"/>
    <row r="2075" s="1" customFormat="1" ht="15.95" customHeight="1" x14ac:dyDescent="0.25"/>
    <row r="2076" s="1" customFormat="1" ht="15.95" customHeight="1" x14ac:dyDescent="0.25"/>
    <row r="2077" s="1" customFormat="1" ht="15.95" customHeight="1" x14ac:dyDescent="0.25"/>
    <row r="2078" s="1" customFormat="1" ht="15.95" customHeight="1" x14ac:dyDescent="0.25"/>
    <row r="2079" s="1" customFormat="1" ht="15.95" customHeight="1" x14ac:dyDescent="0.25"/>
    <row r="2080" s="1" customFormat="1" ht="15.95" customHeight="1" x14ac:dyDescent="0.25"/>
    <row r="2081" s="1" customFormat="1" ht="15.95" customHeight="1" x14ac:dyDescent="0.25"/>
    <row r="2082" s="1" customFormat="1" ht="15.95" customHeight="1" x14ac:dyDescent="0.25"/>
    <row r="2083" s="1" customFormat="1" ht="15.95" customHeight="1" x14ac:dyDescent="0.25"/>
    <row r="2084" s="1" customFormat="1" ht="15.95" customHeight="1" x14ac:dyDescent="0.25"/>
    <row r="2085" s="1" customFormat="1" ht="15.95" customHeight="1" x14ac:dyDescent="0.25"/>
    <row r="2086" s="1" customFormat="1" ht="15.95" customHeight="1" x14ac:dyDescent="0.25"/>
    <row r="2087" s="1" customFormat="1" ht="15.95" customHeight="1" x14ac:dyDescent="0.25"/>
    <row r="2088" s="1" customFormat="1" ht="15.95" customHeight="1" x14ac:dyDescent="0.25"/>
    <row r="2089" s="1" customFormat="1" ht="15.95" customHeight="1" x14ac:dyDescent="0.25"/>
    <row r="2090" s="1" customFormat="1" ht="15.95" customHeight="1" x14ac:dyDescent="0.25"/>
    <row r="2091" s="1" customFormat="1" ht="15.95" customHeight="1" x14ac:dyDescent="0.25"/>
    <row r="2092" s="1" customFormat="1" ht="15.95" customHeight="1" x14ac:dyDescent="0.25"/>
    <row r="2093" s="1" customFormat="1" ht="15.95" customHeight="1" x14ac:dyDescent="0.25"/>
    <row r="2094" s="1" customFormat="1" ht="15.95" customHeight="1" x14ac:dyDescent="0.25"/>
    <row r="2095" s="1" customFormat="1" ht="15.95" customHeight="1" x14ac:dyDescent="0.25"/>
    <row r="2096" s="1" customFormat="1" ht="15.95" customHeight="1" x14ac:dyDescent="0.25"/>
    <row r="2097" s="1" customFormat="1" ht="15.95" customHeight="1" x14ac:dyDescent="0.25"/>
    <row r="2098" s="1" customFormat="1" ht="15.95" customHeight="1" x14ac:dyDescent="0.25"/>
    <row r="2099" s="1" customFormat="1" ht="15.95" customHeight="1" x14ac:dyDescent="0.25"/>
    <row r="2100" s="1" customFormat="1" ht="15.95" customHeight="1" x14ac:dyDescent="0.25"/>
    <row r="2101" s="1" customFormat="1" ht="15.95" customHeight="1" x14ac:dyDescent="0.25"/>
    <row r="2102" s="1" customFormat="1" ht="15.95" customHeight="1" x14ac:dyDescent="0.25"/>
    <row r="2103" s="1" customFormat="1" ht="15.95" customHeight="1" x14ac:dyDescent="0.25"/>
    <row r="2104" s="1" customFormat="1" ht="15.95" customHeight="1" x14ac:dyDescent="0.25"/>
    <row r="2105" s="1" customFormat="1" ht="15.95" customHeight="1" x14ac:dyDescent="0.25"/>
    <row r="2106" s="1" customFormat="1" ht="15.95" customHeight="1" x14ac:dyDescent="0.25"/>
    <row r="2107" s="1" customFormat="1" ht="15.95" customHeight="1" x14ac:dyDescent="0.25"/>
    <row r="2108" s="1" customFormat="1" ht="15.95" customHeight="1" x14ac:dyDescent="0.25"/>
    <row r="2109" s="1" customFormat="1" ht="15.95" customHeight="1" x14ac:dyDescent="0.25"/>
    <row r="2110" s="1" customFormat="1" ht="15.95" customHeight="1" x14ac:dyDescent="0.25"/>
    <row r="2111" s="1" customFormat="1" ht="15.95" customHeight="1" x14ac:dyDescent="0.25"/>
    <row r="2112" s="1" customFormat="1" ht="15.95" customHeight="1" x14ac:dyDescent="0.25"/>
    <row r="2113" s="1" customFormat="1" ht="15.95" customHeight="1" x14ac:dyDescent="0.25"/>
    <row r="2114" s="1" customFormat="1" ht="15.95" customHeight="1" x14ac:dyDescent="0.25"/>
    <row r="2115" s="1" customFormat="1" ht="15.95" customHeight="1" x14ac:dyDescent="0.25"/>
    <row r="2116" s="1" customFormat="1" ht="15.95" customHeight="1" x14ac:dyDescent="0.25"/>
    <row r="2117" s="1" customFormat="1" ht="15.95" customHeight="1" x14ac:dyDescent="0.25"/>
    <row r="2118" s="1" customFormat="1" ht="15.95" customHeight="1" x14ac:dyDescent="0.25"/>
    <row r="2119" s="1" customFormat="1" ht="15.95" customHeight="1" x14ac:dyDescent="0.25"/>
    <row r="2120" s="1" customFormat="1" ht="15.95" customHeight="1" x14ac:dyDescent="0.25"/>
    <row r="2121" s="1" customFormat="1" ht="15.95" customHeight="1" x14ac:dyDescent="0.25"/>
    <row r="2122" s="1" customFormat="1" ht="15.95" customHeight="1" x14ac:dyDescent="0.25"/>
    <row r="2123" s="1" customFormat="1" ht="15.95" customHeight="1" x14ac:dyDescent="0.25"/>
    <row r="2124" s="1" customFormat="1" ht="15.95" customHeight="1" x14ac:dyDescent="0.25"/>
    <row r="2125" s="1" customFormat="1" ht="15.95" customHeight="1" x14ac:dyDescent="0.25"/>
    <row r="2126" s="1" customFormat="1" ht="15.95" customHeight="1" x14ac:dyDescent="0.25"/>
    <row r="2127" s="1" customFormat="1" ht="15.95" customHeight="1" x14ac:dyDescent="0.25"/>
    <row r="2128" s="1" customFormat="1" ht="15.95" customHeight="1" x14ac:dyDescent="0.25"/>
    <row r="2129" s="1" customFormat="1" ht="15.95" customHeight="1" x14ac:dyDescent="0.25"/>
    <row r="2130" s="1" customFormat="1" ht="15.95" customHeight="1" x14ac:dyDescent="0.25"/>
    <row r="2131" s="1" customFormat="1" ht="15.95" customHeight="1" x14ac:dyDescent="0.25"/>
    <row r="2132" s="1" customFormat="1" ht="15.95" customHeight="1" x14ac:dyDescent="0.25"/>
    <row r="2133" s="1" customFormat="1" ht="15.95" customHeight="1" x14ac:dyDescent="0.25"/>
    <row r="2134" s="1" customFormat="1" ht="15.95" customHeight="1" x14ac:dyDescent="0.25"/>
    <row r="2135" s="1" customFormat="1" ht="15.95" customHeight="1" x14ac:dyDescent="0.25"/>
    <row r="2136" s="1" customFormat="1" ht="15.95" customHeight="1" x14ac:dyDescent="0.25"/>
    <row r="2137" s="1" customFormat="1" ht="15.95" customHeight="1" x14ac:dyDescent="0.25"/>
    <row r="2138" s="1" customFormat="1" ht="15.95" customHeight="1" x14ac:dyDescent="0.25"/>
    <row r="2139" s="1" customFormat="1" ht="15.95" customHeight="1" x14ac:dyDescent="0.25"/>
    <row r="2140" s="1" customFormat="1" ht="15.95" customHeight="1" x14ac:dyDescent="0.25"/>
    <row r="2141" s="1" customFormat="1" ht="15.95" customHeight="1" x14ac:dyDescent="0.25"/>
    <row r="2142" s="1" customFormat="1" ht="15.95" customHeight="1" x14ac:dyDescent="0.25"/>
    <row r="2143" s="1" customFormat="1" ht="15.95" customHeight="1" x14ac:dyDescent="0.25"/>
    <row r="2144" s="1" customFormat="1" ht="15.95" customHeight="1" x14ac:dyDescent="0.25"/>
    <row r="2145" s="1" customFormat="1" ht="15.95" customHeight="1" x14ac:dyDescent="0.25"/>
    <row r="2146" s="1" customFormat="1" ht="15.95" customHeight="1" x14ac:dyDescent="0.25"/>
    <row r="2147" s="1" customFormat="1" ht="15.95" customHeight="1" x14ac:dyDescent="0.25"/>
    <row r="2148" s="1" customFormat="1" ht="15.95" customHeight="1" x14ac:dyDescent="0.25"/>
    <row r="2149" s="1" customFormat="1" ht="15.95" customHeight="1" x14ac:dyDescent="0.25"/>
    <row r="2150" s="1" customFormat="1" ht="15.95" customHeight="1" x14ac:dyDescent="0.25"/>
    <row r="2151" s="1" customFormat="1" ht="15.95" customHeight="1" x14ac:dyDescent="0.25"/>
    <row r="2152" s="1" customFormat="1" ht="15.95" customHeight="1" x14ac:dyDescent="0.25"/>
    <row r="2153" s="1" customFormat="1" ht="15.95" customHeight="1" x14ac:dyDescent="0.25"/>
    <row r="2154" s="1" customFormat="1" ht="15.95" customHeight="1" x14ac:dyDescent="0.25"/>
    <row r="2155" s="1" customFormat="1" ht="15.95" customHeight="1" x14ac:dyDescent="0.25"/>
    <row r="2156" s="1" customFormat="1" ht="15.95" customHeight="1" x14ac:dyDescent="0.25"/>
    <row r="2157" s="1" customFormat="1" ht="15.95" customHeight="1" x14ac:dyDescent="0.25"/>
    <row r="2158" s="1" customFormat="1" ht="15.95" customHeight="1" x14ac:dyDescent="0.25"/>
    <row r="2159" s="1" customFormat="1" ht="15.95" customHeight="1" x14ac:dyDescent="0.25"/>
    <row r="2160" s="1" customFormat="1" ht="15.95" customHeight="1" x14ac:dyDescent="0.25"/>
    <row r="2161" s="1" customFormat="1" ht="15.95" customHeight="1" x14ac:dyDescent="0.25"/>
    <row r="2162" s="1" customFormat="1" ht="15.95" customHeight="1" x14ac:dyDescent="0.25"/>
    <row r="2163" s="1" customFormat="1" ht="15.95" customHeight="1" x14ac:dyDescent="0.25"/>
    <row r="2164" s="1" customFormat="1" ht="15.95" customHeight="1" x14ac:dyDescent="0.25"/>
    <row r="2165" s="1" customFormat="1" ht="15.95" customHeight="1" x14ac:dyDescent="0.25"/>
    <row r="2166" s="1" customFormat="1" ht="15.95" customHeight="1" x14ac:dyDescent="0.25"/>
    <row r="2167" s="1" customFormat="1" ht="15.95" customHeight="1" x14ac:dyDescent="0.25"/>
    <row r="2168" s="1" customFormat="1" ht="15.95" customHeight="1" x14ac:dyDescent="0.25"/>
    <row r="2169" s="1" customFormat="1" ht="15.95" customHeight="1" x14ac:dyDescent="0.25"/>
    <row r="2170" s="1" customFormat="1" ht="15.95" customHeight="1" x14ac:dyDescent="0.25"/>
    <row r="2171" s="1" customFormat="1" ht="15.95" customHeight="1" x14ac:dyDescent="0.25"/>
    <row r="2172" s="1" customFormat="1" ht="15.95" customHeight="1" x14ac:dyDescent="0.25"/>
    <row r="2173" s="1" customFormat="1" ht="15.95" customHeight="1" x14ac:dyDescent="0.25"/>
    <row r="2174" s="1" customFormat="1" ht="15.95" customHeight="1" x14ac:dyDescent="0.25"/>
    <row r="2175" s="1" customFormat="1" ht="15.95" customHeight="1" x14ac:dyDescent="0.25"/>
    <row r="2176" s="1" customFormat="1" ht="15.95" customHeight="1" x14ac:dyDescent="0.25"/>
    <row r="2177" s="1" customFormat="1" ht="15.95" customHeight="1" x14ac:dyDescent="0.25"/>
    <row r="2178" s="1" customFormat="1" ht="15.95" customHeight="1" x14ac:dyDescent="0.25"/>
    <row r="2179" s="1" customFormat="1" ht="15.95" customHeight="1" x14ac:dyDescent="0.25"/>
    <row r="2180" s="1" customFormat="1" ht="15.95" customHeight="1" x14ac:dyDescent="0.25"/>
    <row r="2181" s="1" customFormat="1" ht="15.95" customHeight="1" x14ac:dyDescent="0.25"/>
    <row r="2182" s="1" customFormat="1" ht="15.95" customHeight="1" x14ac:dyDescent="0.25"/>
    <row r="2183" s="1" customFormat="1" ht="15.95" customHeight="1" x14ac:dyDescent="0.25"/>
    <row r="2184" s="1" customFormat="1" ht="15.95" customHeight="1" x14ac:dyDescent="0.25"/>
    <row r="2185" s="1" customFormat="1" ht="15.95" customHeight="1" x14ac:dyDescent="0.25"/>
    <row r="2186" s="1" customFormat="1" ht="15.95" customHeight="1" x14ac:dyDescent="0.25"/>
    <row r="2187" s="1" customFormat="1" ht="15.95" customHeight="1" x14ac:dyDescent="0.25"/>
    <row r="2188" s="1" customFormat="1" ht="15.95" customHeight="1" x14ac:dyDescent="0.25"/>
    <row r="2189" s="1" customFormat="1" ht="15.95" customHeight="1" x14ac:dyDescent="0.25"/>
    <row r="2190" s="1" customFormat="1" ht="15.95" customHeight="1" x14ac:dyDescent="0.25"/>
    <row r="2191" s="1" customFormat="1" ht="15.95" customHeight="1" x14ac:dyDescent="0.25"/>
    <row r="2192" s="1" customFormat="1" ht="15.95" customHeight="1" x14ac:dyDescent="0.25"/>
    <row r="2193" s="1" customFormat="1" ht="15.95" customHeight="1" x14ac:dyDescent="0.25"/>
    <row r="2194" s="1" customFormat="1" ht="15.95" customHeight="1" x14ac:dyDescent="0.25"/>
    <row r="2195" s="1" customFormat="1" ht="15.95" customHeight="1" x14ac:dyDescent="0.25"/>
    <row r="2196" s="1" customFormat="1" ht="15.95" customHeight="1" x14ac:dyDescent="0.25"/>
    <row r="2197" s="1" customFormat="1" ht="15.95" customHeight="1" x14ac:dyDescent="0.25"/>
    <row r="2198" s="1" customFormat="1" ht="15.95" customHeight="1" x14ac:dyDescent="0.25"/>
    <row r="2199" s="1" customFormat="1" ht="15.95" customHeight="1" x14ac:dyDescent="0.25"/>
    <row r="2200" s="1" customFormat="1" ht="15.95" customHeight="1" x14ac:dyDescent="0.25"/>
    <row r="2201" s="1" customFormat="1" ht="15.95" customHeight="1" x14ac:dyDescent="0.25"/>
    <row r="2202" s="1" customFormat="1" ht="15.95" customHeight="1" x14ac:dyDescent="0.25"/>
    <row r="2203" s="1" customFormat="1" ht="15.95" customHeight="1" x14ac:dyDescent="0.25"/>
    <row r="2204" s="1" customFormat="1" ht="15.95" customHeight="1" x14ac:dyDescent="0.25"/>
    <row r="2205" s="1" customFormat="1" ht="15.95" customHeight="1" x14ac:dyDescent="0.25"/>
    <row r="2206" s="1" customFormat="1" ht="15.95" customHeight="1" x14ac:dyDescent="0.25"/>
    <row r="2207" s="1" customFormat="1" ht="15.95" customHeight="1" x14ac:dyDescent="0.25"/>
    <row r="2208" s="1" customFormat="1" ht="15.95" customHeight="1" x14ac:dyDescent="0.25"/>
    <row r="2209" s="1" customFormat="1" ht="15.95" customHeight="1" x14ac:dyDescent="0.25"/>
    <row r="2210" s="1" customFormat="1" ht="15.95" customHeight="1" x14ac:dyDescent="0.25"/>
    <row r="2211" s="1" customFormat="1" ht="15.95" customHeight="1" x14ac:dyDescent="0.25"/>
    <row r="2212" s="1" customFormat="1" ht="15.95" customHeight="1" x14ac:dyDescent="0.25"/>
    <row r="2213" s="1" customFormat="1" ht="15.95" customHeight="1" x14ac:dyDescent="0.25"/>
    <row r="2214" s="1" customFormat="1" ht="15.95" customHeight="1" x14ac:dyDescent="0.25"/>
    <row r="2215" s="1" customFormat="1" ht="15.95" customHeight="1" x14ac:dyDescent="0.25"/>
    <row r="2216" s="1" customFormat="1" ht="15.95" customHeight="1" x14ac:dyDescent="0.25"/>
    <row r="2217" s="1" customFormat="1" ht="15.95" customHeight="1" x14ac:dyDescent="0.25"/>
    <row r="2218" s="1" customFormat="1" ht="15.95" customHeight="1" x14ac:dyDescent="0.25"/>
    <row r="2219" s="1" customFormat="1" ht="15.95" customHeight="1" x14ac:dyDescent="0.25"/>
    <row r="2220" s="1" customFormat="1" ht="15.95" customHeight="1" x14ac:dyDescent="0.25"/>
    <row r="2221" s="1" customFormat="1" ht="15.95" customHeight="1" x14ac:dyDescent="0.25"/>
    <row r="2222" s="1" customFormat="1" ht="15.95" customHeight="1" x14ac:dyDescent="0.25"/>
    <row r="2223" s="1" customFormat="1" ht="15.95" customHeight="1" x14ac:dyDescent="0.25"/>
    <row r="2224" s="1" customFormat="1" ht="15.95" customHeight="1" x14ac:dyDescent="0.25"/>
    <row r="2225" s="1" customFormat="1" ht="15.95" customHeight="1" x14ac:dyDescent="0.25"/>
    <row r="2226" s="1" customFormat="1" ht="15.95" customHeight="1" x14ac:dyDescent="0.25"/>
    <row r="2227" s="1" customFormat="1" ht="15.95" customHeight="1" x14ac:dyDescent="0.25"/>
    <row r="2228" s="1" customFormat="1" ht="15.95" customHeight="1" x14ac:dyDescent="0.25"/>
    <row r="2229" s="1" customFormat="1" ht="15.95" customHeight="1" x14ac:dyDescent="0.25"/>
    <row r="2230" s="1" customFormat="1" ht="15.95" customHeight="1" x14ac:dyDescent="0.25"/>
    <row r="2231" s="1" customFormat="1" ht="15.95" customHeight="1" x14ac:dyDescent="0.25"/>
    <row r="2232" s="1" customFormat="1" ht="15.95" customHeight="1" x14ac:dyDescent="0.25"/>
    <row r="2233" s="1" customFormat="1" ht="15.95" customHeight="1" x14ac:dyDescent="0.25"/>
    <row r="2234" s="1" customFormat="1" ht="15.95" customHeight="1" x14ac:dyDescent="0.25"/>
    <row r="2235" s="1" customFormat="1" ht="15.95" customHeight="1" x14ac:dyDescent="0.25"/>
    <row r="2236" s="1" customFormat="1" ht="15.95" customHeight="1" x14ac:dyDescent="0.25"/>
    <row r="2237" s="1" customFormat="1" ht="15.95" customHeight="1" x14ac:dyDescent="0.25"/>
    <row r="2238" s="1" customFormat="1" ht="15.95" customHeight="1" x14ac:dyDescent="0.25"/>
    <row r="2239" s="1" customFormat="1" ht="15.95" customHeight="1" x14ac:dyDescent="0.25"/>
    <row r="2240" s="1" customFormat="1" ht="15.95" customHeight="1" x14ac:dyDescent="0.25"/>
    <row r="2241" s="1" customFormat="1" ht="15.95" customHeight="1" x14ac:dyDescent="0.25"/>
    <row r="2242" s="1" customFormat="1" ht="15.95" customHeight="1" x14ac:dyDescent="0.25"/>
    <row r="2243" s="1" customFormat="1" ht="15.95" customHeight="1" x14ac:dyDescent="0.25"/>
    <row r="2244" s="1" customFormat="1" ht="15.95" customHeight="1" x14ac:dyDescent="0.25"/>
    <row r="2245" s="1" customFormat="1" ht="15.95" customHeight="1" x14ac:dyDescent="0.25"/>
    <row r="2246" s="1" customFormat="1" ht="15.95" customHeight="1" x14ac:dyDescent="0.25"/>
    <row r="2247" s="1" customFormat="1" ht="15.95" customHeight="1" x14ac:dyDescent="0.25"/>
    <row r="2248" s="1" customFormat="1" ht="15.95" customHeight="1" x14ac:dyDescent="0.25"/>
    <row r="2249" s="1" customFormat="1" ht="15.95" customHeight="1" x14ac:dyDescent="0.25"/>
    <row r="2250" s="1" customFormat="1" ht="15.95" customHeight="1" x14ac:dyDescent="0.25"/>
    <row r="2251" s="1" customFormat="1" ht="15.95" customHeight="1" x14ac:dyDescent="0.25"/>
    <row r="2252" s="1" customFormat="1" ht="15.95" customHeight="1" x14ac:dyDescent="0.25"/>
    <row r="2253" s="1" customFormat="1" ht="15.95" customHeight="1" x14ac:dyDescent="0.25"/>
    <row r="2254" s="1" customFormat="1" ht="15.95" customHeight="1" x14ac:dyDescent="0.25"/>
    <row r="2255" s="1" customFormat="1" ht="15.95" customHeight="1" x14ac:dyDescent="0.25"/>
    <row r="2256" s="1" customFormat="1" ht="15.95" customHeight="1" x14ac:dyDescent="0.25"/>
    <row r="2257" s="1" customFormat="1" ht="15.95" customHeight="1" x14ac:dyDescent="0.25"/>
    <row r="2258" s="1" customFormat="1" ht="15.95" customHeight="1" x14ac:dyDescent="0.25"/>
    <row r="2259" s="1" customFormat="1" ht="15.95" customHeight="1" x14ac:dyDescent="0.25"/>
    <row r="2260" s="1" customFormat="1" ht="15.95" customHeight="1" x14ac:dyDescent="0.25"/>
    <row r="2261" s="1" customFormat="1" ht="15.95" customHeight="1" x14ac:dyDescent="0.25"/>
    <row r="2262" s="1" customFormat="1" ht="15.95" customHeight="1" x14ac:dyDescent="0.25"/>
    <row r="2263" s="1" customFormat="1" ht="15.95" customHeight="1" x14ac:dyDescent="0.25"/>
    <row r="2264" s="1" customFormat="1" ht="15.95" customHeight="1" x14ac:dyDescent="0.25"/>
    <row r="2265" s="1" customFormat="1" ht="15.95" customHeight="1" x14ac:dyDescent="0.25"/>
    <row r="2266" s="1" customFormat="1" ht="15.95" customHeight="1" x14ac:dyDescent="0.25"/>
    <row r="2267" s="1" customFormat="1" ht="15.95" customHeight="1" x14ac:dyDescent="0.25"/>
    <row r="2268" s="1" customFormat="1" ht="15.95" customHeight="1" x14ac:dyDescent="0.25"/>
    <row r="2269" s="1" customFormat="1" ht="15.95" customHeight="1" x14ac:dyDescent="0.25"/>
    <row r="2270" s="1" customFormat="1" ht="15.95" customHeight="1" x14ac:dyDescent="0.25"/>
    <row r="2271" s="1" customFormat="1" ht="15.95" customHeight="1" x14ac:dyDescent="0.25"/>
    <row r="2272" s="1" customFormat="1" ht="15.95" customHeight="1" x14ac:dyDescent="0.25"/>
    <row r="2273" s="1" customFormat="1" ht="15.95" customHeight="1" x14ac:dyDescent="0.25"/>
    <row r="2274" s="1" customFormat="1" ht="15.95" customHeight="1" x14ac:dyDescent="0.25"/>
    <row r="2275" s="1" customFormat="1" ht="15.95" customHeight="1" x14ac:dyDescent="0.25"/>
    <row r="2276" s="1" customFormat="1" ht="15.95" customHeight="1" x14ac:dyDescent="0.25"/>
    <row r="2277" s="1" customFormat="1" ht="15.95" customHeight="1" x14ac:dyDescent="0.25"/>
    <row r="2278" s="1" customFormat="1" ht="15.95" customHeight="1" x14ac:dyDescent="0.25"/>
    <row r="2279" s="1" customFormat="1" ht="15.95" customHeight="1" x14ac:dyDescent="0.25"/>
    <row r="2280" s="1" customFormat="1" ht="15.95" customHeight="1" x14ac:dyDescent="0.25"/>
    <row r="2281" s="1" customFormat="1" ht="15.95" customHeight="1" x14ac:dyDescent="0.25"/>
    <row r="2282" s="1" customFormat="1" ht="15.95" customHeight="1" x14ac:dyDescent="0.25"/>
    <row r="2283" s="1" customFormat="1" ht="15.95" customHeight="1" x14ac:dyDescent="0.25"/>
    <row r="2284" s="1" customFormat="1" ht="15.95" customHeight="1" x14ac:dyDescent="0.25"/>
    <row r="2285" s="1" customFormat="1" ht="15.95" customHeight="1" x14ac:dyDescent="0.25"/>
    <row r="2286" s="1" customFormat="1" ht="15.95" customHeight="1" x14ac:dyDescent="0.25"/>
    <row r="2287" s="1" customFormat="1" ht="15.95" customHeight="1" x14ac:dyDescent="0.25"/>
    <row r="2288" s="1" customFormat="1" ht="15.95" customHeight="1" x14ac:dyDescent="0.25"/>
    <row r="2289" s="1" customFormat="1" ht="15.95" customHeight="1" x14ac:dyDescent="0.25"/>
    <row r="2290" s="1" customFormat="1" ht="15.95" customHeight="1" x14ac:dyDescent="0.25"/>
    <row r="2291" s="1" customFormat="1" ht="15.95" customHeight="1" x14ac:dyDescent="0.25"/>
    <row r="2292" s="1" customFormat="1" ht="15.95" customHeight="1" x14ac:dyDescent="0.25"/>
    <row r="2293" s="1" customFormat="1" ht="15.95" customHeight="1" x14ac:dyDescent="0.25"/>
    <row r="2294" s="1" customFormat="1" ht="15.95" customHeight="1" x14ac:dyDescent="0.25"/>
    <row r="2295" s="1" customFormat="1" ht="15.95" customHeight="1" x14ac:dyDescent="0.25"/>
    <row r="2296" s="1" customFormat="1" ht="15.95" customHeight="1" x14ac:dyDescent="0.25"/>
    <row r="2297" s="1" customFormat="1" ht="15.95" customHeight="1" x14ac:dyDescent="0.25"/>
    <row r="2298" s="1" customFormat="1" ht="15.95" customHeight="1" x14ac:dyDescent="0.25"/>
    <row r="2299" s="1" customFormat="1" ht="15.95" customHeight="1" x14ac:dyDescent="0.25"/>
    <row r="2300" s="1" customFormat="1" ht="15.95" customHeight="1" x14ac:dyDescent="0.25"/>
    <row r="2301" s="1" customFormat="1" ht="15.95" customHeight="1" x14ac:dyDescent="0.25"/>
    <row r="2302" s="1" customFormat="1" ht="15.95" customHeight="1" x14ac:dyDescent="0.25"/>
    <row r="2303" s="1" customFormat="1" ht="15.95" customHeight="1" x14ac:dyDescent="0.25"/>
    <row r="2304" s="1" customFormat="1" ht="15.95" customHeight="1" x14ac:dyDescent="0.25"/>
    <row r="2305" s="1" customFormat="1" ht="15.95" customHeight="1" x14ac:dyDescent="0.25"/>
    <row r="2306" s="1" customFormat="1" ht="15.95" customHeight="1" x14ac:dyDescent="0.25"/>
    <row r="2307" s="1" customFormat="1" ht="15.95" customHeight="1" x14ac:dyDescent="0.25"/>
    <row r="2308" s="1" customFormat="1" ht="15.95" customHeight="1" x14ac:dyDescent="0.25"/>
    <row r="2309" s="1" customFormat="1" ht="15.95" customHeight="1" x14ac:dyDescent="0.25"/>
    <row r="2310" s="1" customFormat="1" ht="15.95" customHeight="1" x14ac:dyDescent="0.25"/>
    <row r="2311" s="1" customFormat="1" ht="15.95" customHeight="1" x14ac:dyDescent="0.25"/>
    <row r="2312" s="1" customFormat="1" ht="15.95" customHeight="1" x14ac:dyDescent="0.25"/>
    <row r="2313" s="1" customFormat="1" ht="15.95" customHeight="1" x14ac:dyDescent="0.25"/>
    <row r="2314" s="1" customFormat="1" ht="15.95" customHeight="1" x14ac:dyDescent="0.25"/>
    <row r="2315" s="1" customFormat="1" ht="15.95" customHeight="1" x14ac:dyDescent="0.25"/>
    <row r="2316" s="1" customFormat="1" ht="15.95" customHeight="1" x14ac:dyDescent="0.25"/>
    <row r="2317" s="1" customFormat="1" ht="15.95" customHeight="1" x14ac:dyDescent="0.25"/>
    <row r="2318" s="1" customFormat="1" ht="15.95" customHeight="1" x14ac:dyDescent="0.25"/>
    <row r="2319" s="1" customFormat="1" ht="15.95" customHeight="1" x14ac:dyDescent="0.25"/>
    <row r="2320" s="1" customFormat="1" ht="15.95" customHeight="1" x14ac:dyDescent="0.25"/>
    <row r="2321" s="1" customFormat="1" ht="15.95" customHeight="1" x14ac:dyDescent="0.25"/>
    <row r="2322" s="1" customFormat="1" ht="15.95" customHeight="1" x14ac:dyDescent="0.25"/>
    <row r="2323" s="1" customFormat="1" ht="15.95" customHeight="1" x14ac:dyDescent="0.25"/>
    <row r="2324" s="1" customFormat="1" ht="15.95" customHeight="1" x14ac:dyDescent="0.25"/>
    <row r="2325" s="1" customFormat="1" ht="15.95" customHeight="1" x14ac:dyDescent="0.25"/>
    <row r="2326" s="1" customFormat="1" ht="15.95" customHeight="1" x14ac:dyDescent="0.25"/>
    <row r="2327" s="1" customFormat="1" ht="15.95" customHeight="1" x14ac:dyDescent="0.25"/>
    <row r="2328" s="1" customFormat="1" ht="15.95" customHeight="1" x14ac:dyDescent="0.25"/>
    <row r="2329" s="1" customFormat="1" ht="15.95" customHeight="1" x14ac:dyDescent="0.25"/>
    <row r="2330" s="1" customFormat="1" ht="15.95" customHeight="1" x14ac:dyDescent="0.25"/>
    <row r="2331" s="1" customFormat="1" ht="15.95" customHeight="1" x14ac:dyDescent="0.25"/>
    <row r="2332" s="1" customFormat="1" ht="15.95" customHeight="1" x14ac:dyDescent="0.25"/>
    <row r="2333" s="1" customFormat="1" ht="15.95" customHeight="1" x14ac:dyDescent="0.25"/>
    <row r="2334" s="1" customFormat="1" ht="15.95" customHeight="1" x14ac:dyDescent="0.25"/>
    <row r="2335" s="1" customFormat="1" ht="15.95" customHeight="1" x14ac:dyDescent="0.25"/>
    <row r="2336" s="1" customFormat="1" ht="15.95" customHeight="1" x14ac:dyDescent="0.25"/>
    <row r="2337" s="1" customFormat="1" ht="15.95" customHeight="1" x14ac:dyDescent="0.25"/>
    <row r="2338" s="1" customFormat="1" ht="15.95" customHeight="1" x14ac:dyDescent="0.25"/>
    <row r="2339" s="1" customFormat="1" ht="15.95" customHeight="1" x14ac:dyDescent="0.25"/>
    <row r="2340" s="1" customFormat="1" ht="15.95" customHeight="1" x14ac:dyDescent="0.25"/>
    <row r="2341" s="1" customFormat="1" ht="15.95" customHeight="1" x14ac:dyDescent="0.25"/>
    <row r="2342" s="1" customFormat="1" ht="15.95" customHeight="1" x14ac:dyDescent="0.25"/>
    <row r="2343" s="1" customFormat="1" ht="15.95" customHeight="1" x14ac:dyDescent="0.25"/>
    <row r="2344" s="1" customFormat="1" ht="15.95" customHeight="1" x14ac:dyDescent="0.25"/>
    <row r="2345" s="1" customFormat="1" ht="15.95" customHeight="1" x14ac:dyDescent="0.25"/>
    <row r="2346" s="1" customFormat="1" ht="15.95" customHeight="1" x14ac:dyDescent="0.25"/>
    <row r="2347" s="1" customFormat="1" ht="15.95" customHeight="1" x14ac:dyDescent="0.25"/>
    <row r="2348" s="1" customFormat="1" ht="15.95" customHeight="1" x14ac:dyDescent="0.25"/>
    <row r="2349" s="1" customFormat="1" ht="15.95" customHeight="1" x14ac:dyDescent="0.25"/>
    <row r="2350" s="1" customFormat="1" ht="15.95" customHeight="1" x14ac:dyDescent="0.25"/>
    <row r="2351" s="1" customFormat="1" ht="15.95" customHeight="1" x14ac:dyDescent="0.25"/>
    <row r="2352" s="1" customFormat="1" ht="15.95" customHeight="1" x14ac:dyDescent="0.25"/>
    <row r="2353" s="1" customFormat="1" ht="15.95" customHeight="1" x14ac:dyDescent="0.25"/>
    <row r="2354" s="1" customFormat="1" ht="15.95" customHeight="1" x14ac:dyDescent="0.25"/>
    <row r="2355" s="1" customFormat="1" ht="15.95" customHeight="1" x14ac:dyDescent="0.25"/>
    <row r="2356" s="1" customFormat="1" ht="15.95" customHeight="1" x14ac:dyDescent="0.25"/>
    <row r="2357" s="1" customFormat="1" ht="15.95" customHeight="1" x14ac:dyDescent="0.25"/>
    <row r="2358" s="1" customFormat="1" ht="15.95" customHeight="1" x14ac:dyDescent="0.25"/>
    <row r="2359" s="1" customFormat="1" ht="15.95" customHeight="1" x14ac:dyDescent="0.25"/>
    <row r="2360" s="1" customFormat="1" ht="15.95" customHeight="1" x14ac:dyDescent="0.25"/>
    <row r="2361" s="1" customFormat="1" ht="15.95" customHeight="1" x14ac:dyDescent="0.25"/>
    <row r="2362" s="1" customFormat="1" ht="15.95" customHeight="1" x14ac:dyDescent="0.25"/>
    <row r="2363" s="1" customFormat="1" ht="15.95" customHeight="1" x14ac:dyDescent="0.25"/>
    <row r="2364" s="1" customFormat="1" ht="15.95" customHeight="1" x14ac:dyDescent="0.25"/>
    <row r="2365" s="1" customFormat="1" ht="15.95" customHeight="1" x14ac:dyDescent="0.25"/>
    <row r="2366" s="1" customFormat="1" ht="15.95" customHeight="1" x14ac:dyDescent="0.25"/>
    <row r="2367" s="1" customFormat="1" ht="15.95" customHeight="1" x14ac:dyDescent="0.25"/>
    <row r="2368" s="1" customFormat="1" ht="15.95" customHeight="1" x14ac:dyDescent="0.25"/>
    <row r="2369" s="1" customFormat="1" ht="15.95" customHeight="1" x14ac:dyDescent="0.25"/>
    <row r="2370" s="1" customFormat="1" ht="15.95" customHeight="1" x14ac:dyDescent="0.25"/>
    <row r="2371" s="1" customFormat="1" ht="15.95" customHeight="1" x14ac:dyDescent="0.25"/>
    <row r="2372" s="1" customFormat="1" ht="15.95" customHeight="1" x14ac:dyDescent="0.25"/>
    <row r="2373" s="1" customFormat="1" ht="15.95" customHeight="1" x14ac:dyDescent="0.25"/>
    <row r="2374" s="1" customFormat="1" ht="15.95" customHeight="1" x14ac:dyDescent="0.25"/>
    <row r="2375" s="1" customFormat="1" ht="15.95" customHeight="1" x14ac:dyDescent="0.25"/>
    <row r="2376" s="1" customFormat="1" ht="15.95" customHeight="1" x14ac:dyDescent="0.25"/>
    <row r="2377" s="1" customFormat="1" ht="15.95" customHeight="1" x14ac:dyDescent="0.25"/>
    <row r="2378" s="1" customFormat="1" ht="15.95" customHeight="1" x14ac:dyDescent="0.25"/>
    <row r="2379" s="1" customFormat="1" ht="15.95" customHeight="1" x14ac:dyDescent="0.25"/>
    <row r="2380" s="1" customFormat="1" ht="15.95" customHeight="1" x14ac:dyDescent="0.25"/>
    <row r="2381" s="1" customFormat="1" ht="15.95" customHeight="1" x14ac:dyDescent="0.25"/>
    <row r="2382" s="1" customFormat="1" ht="15.95" customHeight="1" x14ac:dyDescent="0.25"/>
    <row r="2383" s="1" customFormat="1" ht="15.95" customHeight="1" x14ac:dyDescent="0.25"/>
    <row r="2384" s="1" customFormat="1" ht="15.95" customHeight="1" x14ac:dyDescent="0.25"/>
    <row r="2385" s="1" customFormat="1" ht="15.95" customHeight="1" x14ac:dyDescent="0.25"/>
    <row r="2386" s="1" customFormat="1" ht="15.95" customHeight="1" x14ac:dyDescent="0.25"/>
    <row r="2387" s="1" customFormat="1" ht="15.95" customHeight="1" x14ac:dyDescent="0.25"/>
    <row r="2388" s="1" customFormat="1" ht="15.95" customHeight="1" x14ac:dyDescent="0.25"/>
    <row r="2389" s="1" customFormat="1" ht="15.95" customHeight="1" x14ac:dyDescent="0.25"/>
    <row r="2390" s="1" customFormat="1" ht="15.95" customHeight="1" x14ac:dyDescent="0.25"/>
    <row r="2391" s="1" customFormat="1" ht="15.95" customHeight="1" x14ac:dyDescent="0.25"/>
    <row r="2392" s="1" customFormat="1" ht="15.95" customHeight="1" x14ac:dyDescent="0.25"/>
    <row r="2393" s="1" customFormat="1" ht="15.95" customHeight="1" x14ac:dyDescent="0.25"/>
    <row r="2394" s="1" customFormat="1" ht="15.95" customHeight="1" x14ac:dyDescent="0.25"/>
    <row r="2395" s="1" customFormat="1" ht="15.95" customHeight="1" x14ac:dyDescent="0.25"/>
    <row r="2396" s="1" customFormat="1" ht="15.95" customHeight="1" x14ac:dyDescent="0.25"/>
    <row r="2397" s="1" customFormat="1" ht="15.95" customHeight="1" x14ac:dyDescent="0.25"/>
    <row r="2398" s="1" customFormat="1" ht="15.95" customHeight="1" x14ac:dyDescent="0.25"/>
    <row r="2399" s="1" customFormat="1" ht="15.95" customHeight="1" x14ac:dyDescent="0.25"/>
    <row r="2400" s="1" customFormat="1" ht="15.95" customHeight="1" x14ac:dyDescent="0.25"/>
    <row r="2401" s="1" customFormat="1" ht="15.95" customHeight="1" x14ac:dyDescent="0.25"/>
    <row r="2402" s="1" customFormat="1" ht="15.95" customHeight="1" x14ac:dyDescent="0.25"/>
    <row r="2403" s="1" customFormat="1" ht="15.95" customHeight="1" x14ac:dyDescent="0.25"/>
    <row r="2404" s="1" customFormat="1" ht="15.95" customHeight="1" x14ac:dyDescent="0.25"/>
    <row r="2405" s="1" customFormat="1" ht="15.95" customHeight="1" x14ac:dyDescent="0.25"/>
    <row r="2406" s="1" customFormat="1" ht="15.95" customHeight="1" x14ac:dyDescent="0.25"/>
    <row r="2407" s="1" customFormat="1" ht="15.95" customHeight="1" x14ac:dyDescent="0.25"/>
    <row r="2408" s="1" customFormat="1" ht="15.95" customHeight="1" x14ac:dyDescent="0.25"/>
    <row r="2409" s="1" customFormat="1" ht="15.95" customHeight="1" x14ac:dyDescent="0.25"/>
    <row r="2410" s="1" customFormat="1" ht="15.95" customHeight="1" x14ac:dyDescent="0.25"/>
    <row r="2411" s="1" customFormat="1" ht="15.95" customHeight="1" x14ac:dyDescent="0.25"/>
    <row r="2412" s="1" customFormat="1" ht="15.95" customHeight="1" x14ac:dyDescent="0.25"/>
    <row r="2413" s="1" customFormat="1" ht="15.95" customHeight="1" x14ac:dyDescent="0.25"/>
    <row r="2414" s="1" customFormat="1" ht="15.95" customHeight="1" x14ac:dyDescent="0.25"/>
    <row r="2415" s="1" customFormat="1" ht="15.95" customHeight="1" x14ac:dyDescent="0.25"/>
    <row r="2416" s="1" customFormat="1" ht="15.95" customHeight="1" x14ac:dyDescent="0.25"/>
    <row r="2417" s="1" customFormat="1" ht="15.95" customHeight="1" x14ac:dyDescent="0.25"/>
    <row r="2418" s="1" customFormat="1" ht="15.95" customHeight="1" x14ac:dyDescent="0.25"/>
    <row r="2419" s="1" customFormat="1" ht="15.95" customHeight="1" x14ac:dyDescent="0.25"/>
    <row r="2420" s="1" customFormat="1" ht="15.95" customHeight="1" x14ac:dyDescent="0.25"/>
    <row r="2421" s="1" customFormat="1" ht="15.95" customHeight="1" x14ac:dyDescent="0.25"/>
    <row r="2422" s="1" customFormat="1" ht="15.95" customHeight="1" x14ac:dyDescent="0.25"/>
    <row r="2423" s="1" customFormat="1" ht="15.95" customHeight="1" x14ac:dyDescent="0.25"/>
    <row r="2424" s="1" customFormat="1" ht="15.95" customHeight="1" x14ac:dyDescent="0.25"/>
    <row r="2425" s="1" customFormat="1" ht="15.95" customHeight="1" x14ac:dyDescent="0.25"/>
    <row r="2426" s="1" customFormat="1" ht="15.95" customHeight="1" x14ac:dyDescent="0.25"/>
    <row r="2427" s="1" customFormat="1" ht="15.95" customHeight="1" x14ac:dyDescent="0.25"/>
    <row r="2428" s="1" customFormat="1" ht="15.95" customHeight="1" x14ac:dyDescent="0.25"/>
    <row r="2429" s="1" customFormat="1" ht="15.95" customHeight="1" x14ac:dyDescent="0.25"/>
    <row r="2430" s="1" customFormat="1" ht="15.95" customHeight="1" x14ac:dyDescent="0.25"/>
    <row r="2431" s="1" customFormat="1" ht="15.95" customHeight="1" x14ac:dyDescent="0.25"/>
    <row r="2432" s="1" customFormat="1" ht="15.95" customHeight="1" x14ac:dyDescent="0.25"/>
    <row r="2433" s="1" customFormat="1" ht="15.95" customHeight="1" x14ac:dyDescent="0.25"/>
    <row r="2434" s="1" customFormat="1" ht="15.95" customHeight="1" x14ac:dyDescent="0.25"/>
    <row r="2435" s="1" customFormat="1" ht="15.95" customHeight="1" x14ac:dyDescent="0.25"/>
    <row r="2436" s="1" customFormat="1" ht="15.95" customHeight="1" x14ac:dyDescent="0.25"/>
    <row r="2437" s="1" customFormat="1" ht="15.95" customHeight="1" x14ac:dyDescent="0.25"/>
    <row r="2438" s="1" customFormat="1" ht="15.95" customHeight="1" x14ac:dyDescent="0.25"/>
    <row r="2439" s="1" customFormat="1" ht="15.95" customHeight="1" x14ac:dyDescent="0.25"/>
    <row r="2440" s="1" customFormat="1" ht="15.95" customHeight="1" x14ac:dyDescent="0.25"/>
    <row r="2441" s="1" customFormat="1" ht="15.95" customHeight="1" x14ac:dyDescent="0.25"/>
    <row r="2442" s="1" customFormat="1" ht="15.95" customHeight="1" x14ac:dyDescent="0.25"/>
    <row r="2443" s="1" customFormat="1" ht="15.95" customHeight="1" x14ac:dyDescent="0.25"/>
    <row r="2444" s="1" customFormat="1" ht="15.95" customHeight="1" x14ac:dyDescent="0.25"/>
    <row r="2445" s="1" customFormat="1" ht="15.95" customHeight="1" x14ac:dyDescent="0.25"/>
    <row r="2446" s="1" customFormat="1" ht="15.95" customHeight="1" x14ac:dyDescent="0.25"/>
    <row r="2447" s="1" customFormat="1" ht="15.95" customHeight="1" x14ac:dyDescent="0.25"/>
    <row r="2448" s="1" customFormat="1" ht="15.95" customHeight="1" x14ac:dyDescent="0.25"/>
    <row r="2449" s="1" customFormat="1" ht="15.95" customHeight="1" x14ac:dyDescent="0.25"/>
    <row r="2450" s="1" customFormat="1" ht="15.95" customHeight="1" x14ac:dyDescent="0.25"/>
    <row r="2451" s="1" customFormat="1" ht="15.95" customHeight="1" x14ac:dyDescent="0.25"/>
    <row r="2452" s="1" customFormat="1" ht="15.95" customHeight="1" x14ac:dyDescent="0.25"/>
    <row r="2453" s="1" customFormat="1" ht="15.95" customHeight="1" x14ac:dyDescent="0.25"/>
    <row r="2454" s="1" customFormat="1" ht="15.95" customHeight="1" x14ac:dyDescent="0.25"/>
    <row r="2455" s="1" customFormat="1" ht="15.95" customHeight="1" x14ac:dyDescent="0.25"/>
    <row r="2456" s="1" customFormat="1" ht="15.95" customHeight="1" x14ac:dyDescent="0.25"/>
    <row r="2457" s="1" customFormat="1" ht="15.95" customHeight="1" x14ac:dyDescent="0.25"/>
    <row r="2458" s="1" customFormat="1" ht="15.95" customHeight="1" x14ac:dyDescent="0.25"/>
    <row r="2459" s="1" customFormat="1" ht="15.95" customHeight="1" x14ac:dyDescent="0.25"/>
    <row r="2460" s="1" customFormat="1" ht="15.95" customHeight="1" x14ac:dyDescent="0.25"/>
    <row r="2461" s="1" customFormat="1" ht="15.95" customHeight="1" x14ac:dyDescent="0.25"/>
    <row r="2462" s="1" customFormat="1" ht="15.95" customHeight="1" x14ac:dyDescent="0.25"/>
    <row r="2463" s="1" customFormat="1" ht="15.95" customHeight="1" x14ac:dyDescent="0.25"/>
    <row r="2464" s="1" customFormat="1" ht="15.95" customHeight="1" x14ac:dyDescent="0.25"/>
    <row r="2465" s="1" customFormat="1" ht="15.95" customHeight="1" x14ac:dyDescent="0.25"/>
    <row r="2466" s="1" customFormat="1" ht="15.95" customHeight="1" x14ac:dyDescent="0.25"/>
    <row r="2467" s="1" customFormat="1" ht="15.95" customHeight="1" x14ac:dyDescent="0.25"/>
    <row r="2468" s="1" customFormat="1" ht="15.95" customHeight="1" x14ac:dyDescent="0.25"/>
    <row r="2469" s="1" customFormat="1" ht="15.95" customHeight="1" x14ac:dyDescent="0.25"/>
    <row r="2470" s="1" customFormat="1" ht="15.95" customHeight="1" x14ac:dyDescent="0.25"/>
    <row r="2471" s="1" customFormat="1" ht="15.95" customHeight="1" x14ac:dyDescent="0.25"/>
    <row r="2472" s="1" customFormat="1" ht="15.95" customHeight="1" x14ac:dyDescent="0.25"/>
    <row r="2473" s="1" customFormat="1" ht="15.95" customHeight="1" x14ac:dyDescent="0.25"/>
    <row r="2474" s="1" customFormat="1" ht="15.95" customHeight="1" x14ac:dyDescent="0.25"/>
    <row r="2475" s="1" customFormat="1" ht="15.95" customHeight="1" x14ac:dyDescent="0.25"/>
    <row r="2476" s="1" customFormat="1" ht="15.95" customHeight="1" x14ac:dyDescent="0.25"/>
    <row r="2477" s="1" customFormat="1" ht="15.95" customHeight="1" x14ac:dyDescent="0.25"/>
    <row r="2478" s="1" customFormat="1" ht="15.95" customHeight="1" x14ac:dyDescent="0.25"/>
    <row r="2479" s="1" customFormat="1" ht="15.95" customHeight="1" x14ac:dyDescent="0.25"/>
    <row r="2480" s="1" customFormat="1" ht="15.95" customHeight="1" x14ac:dyDescent="0.25"/>
    <row r="2481" s="1" customFormat="1" ht="15.95" customHeight="1" x14ac:dyDescent="0.25"/>
    <row r="2482" s="1" customFormat="1" ht="15.95" customHeight="1" x14ac:dyDescent="0.25"/>
    <row r="2483" s="1" customFormat="1" ht="15.95" customHeight="1" x14ac:dyDescent="0.25"/>
    <row r="2484" s="1" customFormat="1" ht="15.95" customHeight="1" x14ac:dyDescent="0.25"/>
    <row r="2485" s="1" customFormat="1" ht="15.95" customHeight="1" x14ac:dyDescent="0.25"/>
    <row r="2486" s="1" customFormat="1" ht="15.95" customHeight="1" x14ac:dyDescent="0.25"/>
    <row r="2487" s="1" customFormat="1" ht="15.95" customHeight="1" x14ac:dyDescent="0.25"/>
    <row r="2488" s="1" customFormat="1" ht="15.95" customHeight="1" x14ac:dyDescent="0.25"/>
    <row r="2489" s="1" customFormat="1" ht="15.95" customHeight="1" x14ac:dyDescent="0.25"/>
    <row r="2490" s="1" customFormat="1" ht="15.95" customHeight="1" x14ac:dyDescent="0.25"/>
    <row r="2491" s="1" customFormat="1" ht="15.95" customHeight="1" x14ac:dyDescent="0.25"/>
    <row r="2492" s="1" customFormat="1" ht="15.95" customHeight="1" x14ac:dyDescent="0.25"/>
    <row r="2493" s="1" customFormat="1" ht="15.95" customHeight="1" x14ac:dyDescent="0.25"/>
    <row r="2494" s="1" customFormat="1" ht="15.95" customHeight="1" x14ac:dyDescent="0.25"/>
    <row r="2495" s="1" customFormat="1" ht="15.95" customHeight="1" x14ac:dyDescent="0.25"/>
    <row r="2496" s="1" customFormat="1" ht="15.95" customHeight="1" x14ac:dyDescent="0.25"/>
    <row r="2497" s="1" customFormat="1" ht="15.95" customHeight="1" x14ac:dyDescent="0.25"/>
    <row r="2498" s="1" customFormat="1" ht="15.95" customHeight="1" x14ac:dyDescent="0.25"/>
    <row r="2499" s="1" customFormat="1" ht="15.95" customHeight="1" x14ac:dyDescent="0.25"/>
    <row r="2500" s="1" customFormat="1" ht="15.95" customHeight="1" x14ac:dyDescent="0.25"/>
    <row r="2501" s="1" customFormat="1" ht="15.95" customHeight="1" x14ac:dyDescent="0.25"/>
    <row r="2502" s="1" customFormat="1" ht="15.95" customHeight="1" x14ac:dyDescent="0.25"/>
    <row r="2503" s="1" customFormat="1" ht="15.95" customHeight="1" x14ac:dyDescent="0.25"/>
    <row r="2504" s="1" customFormat="1" ht="15.95" customHeight="1" x14ac:dyDescent="0.25"/>
    <row r="2505" s="1" customFormat="1" ht="15.95" customHeight="1" x14ac:dyDescent="0.25"/>
    <row r="2506" s="1" customFormat="1" ht="15.95" customHeight="1" x14ac:dyDescent="0.25"/>
    <row r="2507" s="1" customFormat="1" ht="15.95" customHeight="1" x14ac:dyDescent="0.25"/>
    <row r="2508" s="1" customFormat="1" ht="15.95" customHeight="1" x14ac:dyDescent="0.25"/>
    <row r="2509" s="1" customFormat="1" ht="15.95" customHeight="1" x14ac:dyDescent="0.25"/>
    <row r="2510" s="1" customFormat="1" ht="15.95" customHeight="1" x14ac:dyDescent="0.25"/>
    <row r="2511" s="1" customFormat="1" ht="15.95" customHeight="1" x14ac:dyDescent="0.25"/>
    <row r="2512" s="1" customFormat="1" ht="15.95" customHeight="1" x14ac:dyDescent="0.25"/>
    <row r="2513" s="1" customFormat="1" ht="15.95" customHeight="1" x14ac:dyDescent="0.25"/>
    <row r="2514" s="1" customFormat="1" ht="15.95" customHeight="1" x14ac:dyDescent="0.25"/>
    <row r="2515" s="1" customFormat="1" ht="15.95" customHeight="1" x14ac:dyDescent="0.25"/>
    <row r="2516" s="1" customFormat="1" ht="15.95" customHeight="1" x14ac:dyDescent="0.25"/>
    <row r="2517" s="1" customFormat="1" ht="15.95" customHeight="1" x14ac:dyDescent="0.25"/>
    <row r="2518" s="1" customFormat="1" ht="15.95" customHeight="1" x14ac:dyDescent="0.25"/>
    <row r="2519" s="1" customFormat="1" ht="15.95" customHeight="1" x14ac:dyDescent="0.25"/>
    <row r="2520" s="1" customFormat="1" ht="15.95" customHeight="1" x14ac:dyDescent="0.25"/>
    <row r="2521" s="1" customFormat="1" ht="15.95" customHeight="1" x14ac:dyDescent="0.25"/>
    <row r="2522" s="1" customFormat="1" ht="15.95" customHeight="1" x14ac:dyDescent="0.25"/>
    <row r="2523" s="1" customFormat="1" ht="15.95" customHeight="1" x14ac:dyDescent="0.25"/>
    <row r="2524" s="1" customFormat="1" ht="15.95" customHeight="1" x14ac:dyDescent="0.25"/>
    <row r="2525" s="1" customFormat="1" ht="15.95" customHeight="1" x14ac:dyDescent="0.25"/>
    <row r="2526" s="1" customFormat="1" ht="15.95" customHeight="1" x14ac:dyDescent="0.25"/>
    <row r="2527" s="1" customFormat="1" ht="15.95" customHeight="1" x14ac:dyDescent="0.25"/>
    <row r="2528" s="1" customFormat="1" ht="15.95" customHeight="1" x14ac:dyDescent="0.25"/>
    <row r="2529" s="1" customFormat="1" ht="15.95" customHeight="1" x14ac:dyDescent="0.25"/>
    <row r="2530" s="1" customFormat="1" ht="15.95" customHeight="1" x14ac:dyDescent="0.25"/>
    <row r="2531" s="1" customFormat="1" ht="15.95" customHeight="1" x14ac:dyDescent="0.25"/>
    <row r="2532" s="1" customFormat="1" ht="15.95" customHeight="1" x14ac:dyDescent="0.25"/>
    <row r="2533" s="1" customFormat="1" ht="15.95" customHeight="1" x14ac:dyDescent="0.25"/>
    <row r="2534" s="1" customFormat="1" ht="15.95" customHeight="1" x14ac:dyDescent="0.25"/>
    <row r="2535" s="1" customFormat="1" ht="15.95" customHeight="1" x14ac:dyDescent="0.25"/>
    <row r="2536" s="1" customFormat="1" ht="15.95" customHeight="1" x14ac:dyDescent="0.25"/>
    <row r="2537" s="1" customFormat="1" ht="15.95" customHeight="1" x14ac:dyDescent="0.25"/>
    <row r="2538" s="1" customFormat="1" ht="15.95" customHeight="1" x14ac:dyDescent="0.25"/>
    <row r="2539" s="1" customFormat="1" ht="15.95" customHeight="1" x14ac:dyDescent="0.25"/>
    <row r="2540" s="1" customFormat="1" ht="15.95" customHeight="1" x14ac:dyDescent="0.25"/>
    <row r="2541" s="1" customFormat="1" ht="15.95" customHeight="1" x14ac:dyDescent="0.25"/>
    <row r="2542" s="1" customFormat="1" ht="15.95" customHeight="1" x14ac:dyDescent="0.25"/>
    <row r="2543" s="1" customFormat="1" ht="15.95" customHeight="1" x14ac:dyDescent="0.25"/>
    <row r="2544" s="1" customFormat="1" ht="15.95" customHeight="1" x14ac:dyDescent="0.25"/>
    <row r="2545" s="1" customFormat="1" ht="15.95" customHeight="1" x14ac:dyDescent="0.25"/>
    <row r="2546" s="1" customFormat="1" ht="15.95" customHeight="1" x14ac:dyDescent="0.25"/>
    <row r="2547" s="1" customFormat="1" ht="15.95" customHeight="1" x14ac:dyDescent="0.25"/>
    <row r="2548" s="1" customFormat="1" ht="15.95" customHeight="1" x14ac:dyDescent="0.25"/>
    <row r="2549" s="1" customFormat="1" ht="15.95" customHeight="1" x14ac:dyDescent="0.25"/>
    <row r="2550" s="1" customFormat="1" ht="15.95" customHeight="1" x14ac:dyDescent="0.25"/>
    <row r="2551" s="1" customFormat="1" ht="15.95" customHeight="1" x14ac:dyDescent="0.25"/>
    <row r="2552" s="1" customFormat="1" ht="15.95" customHeight="1" x14ac:dyDescent="0.25"/>
    <row r="2553" s="1" customFormat="1" ht="15.95" customHeight="1" x14ac:dyDescent="0.25"/>
    <row r="2554" s="1" customFormat="1" ht="15.95" customHeight="1" x14ac:dyDescent="0.25"/>
    <row r="2555" s="1" customFormat="1" ht="15.95" customHeight="1" x14ac:dyDescent="0.25"/>
    <row r="2556" s="1" customFormat="1" ht="15.95" customHeight="1" x14ac:dyDescent="0.25"/>
    <row r="2557" s="1" customFormat="1" ht="15.95" customHeight="1" x14ac:dyDescent="0.25"/>
    <row r="2558" s="1" customFormat="1" ht="15.95" customHeight="1" x14ac:dyDescent="0.25"/>
    <row r="2559" s="1" customFormat="1" ht="15.95" customHeight="1" x14ac:dyDescent="0.25"/>
    <row r="2560" s="1" customFormat="1" ht="15.95" customHeight="1" x14ac:dyDescent="0.25"/>
    <row r="2561" s="1" customFormat="1" ht="15.95" customHeight="1" x14ac:dyDescent="0.25"/>
    <row r="2562" s="1" customFormat="1" ht="15.95" customHeight="1" x14ac:dyDescent="0.25"/>
    <row r="2563" s="1" customFormat="1" ht="15.95" customHeight="1" x14ac:dyDescent="0.25"/>
    <row r="2564" s="1" customFormat="1" ht="15.95" customHeight="1" x14ac:dyDescent="0.25"/>
    <row r="2565" s="1" customFormat="1" ht="15.95" customHeight="1" x14ac:dyDescent="0.25"/>
    <row r="2566" s="1" customFormat="1" ht="15.95" customHeight="1" x14ac:dyDescent="0.25"/>
    <row r="2567" s="1" customFormat="1" ht="15.95" customHeight="1" x14ac:dyDescent="0.25"/>
    <row r="2568" s="1" customFormat="1" ht="15.95" customHeight="1" x14ac:dyDescent="0.25"/>
    <row r="2569" s="1" customFormat="1" ht="15.95" customHeight="1" x14ac:dyDescent="0.25"/>
    <row r="2570" s="1" customFormat="1" ht="15.95" customHeight="1" x14ac:dyDescent="0.25"/>
    <row r="2571" s="1" customFormat="1" ht="15.95" customHeight="1" x14ac:dyDescent="0.25"/>
    <row r="2572" s="1" customFormat="1" ht="15.95" customHeight="1" x14ac:dyDescent="0.25"/>
    <row r="2573" s="1" customFormat="1" ht="15.95" customHeight="1" x14ac:dyDescent="0.25"/>
    <row r="2574" s="1" customFormat="1" ht="15.95" customHeight="1" x14ac:dyDescent="0.25"/>
    <row r="2575" s="1" customFormat="1" ht="15.95" customHeight="1" x14ac:dyDescent="0.25"/>
    <row r="2576" s="1" customFormat="1" ht="15.95" customHeight="1" x14ac:dyDescent="0.25"/>
    <row r="2577" s="1" customFormat="1" ht="15.95" customHeight="1" x14ac:dyDescent="0.25"/>
    <row r="2578" s="1" customFormat="1" ht="15.95" customHeight="1" x14ac:dyDescent="0.25"/>
    <row r="2579" s="1" customFormat="1" ht="15.95" customHeight="1" x14ac:dyDescent="0.25"/>
    <row r="2580" s="1" customFormat="1" ht="15.95" customHeight="1" x14ac:dyDescent="0.25"/>
    <row r="2581" s="1" customFormat="1" ht="15.95" customHeight="1" x14ac:dyDescent="0.25"/>
    <row r="2582" s="1" customFormat="1" ht="15.95" customHeight="1" x14ac:dyDescent="0.25"/>
    <row r="2583" s="1" customFormat="1" ht="15.95" customHeight="1" x14ac:dyDescent="0.25"/>
    <row r="2584" s="1" customFormat="1" ht="15.95" customHeight="1" x14ac:dyDescent="0.25"/>
    <row r="2585" s="1" customFormat="1" ht="15.95" customHeight="1" x14ac:dyDescent="0.25"/>
    <row r="2586" s="1" customFormat="1" ht="15.95" customHeight="1" x14ac:dyDescent="0.25"/>
    <row r="2587" s="1" customFormat="1" ht="15.95" customHeight="1" x14ac:dyDescent="0.25"/>
    <row r="2588" s="1" customFormat="1" ht="15.95" customHeight="1" x14ac:dyDescent="0.25"/>
    <row r="2589" s="1" customFormat="1" ht="15.95" customHeight="1" x14ac:dyDescent="0.25"/>
    <row r="2590" s="1" customFormat="1" ht="15.95" customHeight="1" x14ac:dyDescent="0.25"/>
    <row r="2591" s="1" customFormat="1" ht="15.95" customHeight="1" x14ac:dyDescent="0.25"/>
    <row r="2592" s="1" customFormat="1" ht="15.95" customHeight="1" x14ac:dyDescent="0.25"/>
    <row r="2593" s="1" customFormat="1" ht="15.95" customHeight="1" x14ac:dyDescent="0.25"/>
    <row r="2594" s="1" customFormat="1" ht="15.95" customHeight="1" x14ac:dyDescent="0.25"/>
    <row r="2595" s="1" customFormat="1" ht="15.95" customHeight="1" x14ac:dyDescent="0.25"/>
    <row r="2596" s="1" customFormat="1" ht="15.95" customHeight="1" x14ac:dyDescent="0.25"/>
    <row r="2597" s="1" customFormat="1" ht="15.95" customHeight="1" x14ac:dyDescent="0.25"/>
    <row r="2598" s="1" customFormat="1" ht="15.95" customHeight="1" x14ac:dyDescent="0.25"/>
    <row r="2599" s="1" customFormat="1" ht="15.95" customHeight="1" x14ac:dyDescent="0.25"/>
    <row r="2600" s="1" customFormat="1" ht="15.95" customHeight="1" x14ac:dyDescent="0.25"/>
    <row r="2601" s="1" customFormat="1" ht="15.95" customHeight="1" x14ac:dyDescent="0.25"/>
    <row r="2602" s="1" customFormat="1" ht="15.95" customHeight="1" x14ac:dyDescent="0.25"/>
    <row r="2603" s="1" customFormat="1" ht="15.95" customHeight="1" x14ac:dyDescent="0.25"/>
    <row r="2604" s="1" customFormat="1" ht="15.95" customHeight="1" x14ac:dyDescent="0.25"/>
    <row r="2605" s="1" customFormat="1" ht="15.95" customHeight="1" x14ac:dyDescent="0.25"/>
    <row r="2606" s="1" customFormat="1" ht="15.95" customHeight="1" x14ac:dyDescent="0.25"/>
    <row r="2607" s="1" customFormat="1" ht="15.95" customHeight="1" x14ac:dyDescent="0.25"/>
    <row r="2608" s="1" customFormat="1" ht="15.95" customHeight="1" x14ac:dyDescent="0.25"/>
    <row r="2609" s="1" customFormat="1" ht="15.95" customHeight="1" x14ac:dyDescent="0.25"/>
    <row r="2610" s="1" customFormat="1" ht="15.95" customHeight="1" x14ac:dyDescent="0.25"/>
    <row r="2611" s="1" customFormat="1" ht="15.95" customHeight="1" x14ac:dyDescent="0.25"/>
    <row r="2612" s="1" customFormat="1" ht="15.95" customHeight="1" x14ac:dyDescent="0.25"/>
    <row r="2613" s="1" customFormat="1" ht="15.95" customHeight="1" x14ac:dyDescent="0.25"/>
    <row r="2614" s="1" customFormat="1" ht="15.95" customHeight="1" x14ac:dyDescent="0.25"/>
    <row r="2615" s="1" customFormat="1" ht="15.95" customHeight="1" x14ac:dyDescent="0.25"/>
    <row r="2616" s="1" customFormat="1" ht="15.95" customHeight="1" x14ac:dyDescent="0.25"/>
    <row r="2617" s="1" customFormat="1" ht="15.95" customHeight="1" x14ac:dyDescent="0.25"/>
    <row r="2618" s="1" customFormat="1" ht="15.95" customHeight="1" x14ac:dyDescent="0.25"/>
    <row r="2619" s="1" customFormat="1" ht="15.95" customHeight="1" x14ac:dyDescent="0.25"/>
    <row r="2620" s="1" customFormat="1" ht="15.95" customHeight="1" x14ac:dyDescent="0.25"/>
    <row r="2621" s="1" customFormat="1" ht="15.95" customHeight="1" x14ac:dyDescent="0.25"/>
    <row r="2622" s="1" customFormat="1" ht="15.95" customHeight="1" x14ac:dyDescent="0.25"/>
    <row r="2623" s="1" customFormat="1" ht="15.95" customHeight="1" x14ac:dyDescent="0.25"/>
    <row r="2624" s="1" customFormat="1" ht="15.95" customHeight="1" x14ac:dyDescent="0.25"/>
    <row r="2625" s="1" customFormat="1" ht="15.95" customHeight="1" x14ac:dyDescent="0.25"/>
    <row r="2626" s="1" customFormat="1" ht="15.95" customHeight="1" x14ac:dyDescent="0.25"/>
    <row r="2627" s="1" customFormat="1" ht="15.95" customHeight="1" x14ac:dyDescent="0.25"/>
    <row r="2628" s="1" customFormat="1" ht="15.95" customHeight="1" x14ac:dyDescent="0.25"/>
    <row r="2629" s="1" customFormat="1" ht="15.95" customHeight="1" x14ac:dyDescent="0.25"/>
    <row r="2630" s="1" customFormat="1" ht="15.95" customHeight="1" x14ac:dyDescent="0.25"/>
    <row r="2631" s="1" customFormat="1" ht="15.95" customHeight="1" x14ac:dyDescent="0.25"/>
    <row r="2632" s="1" customFormat="1" ht="15.95" customHeight="1" x14ac:dyDescent="0.25"/>
    <row r="2633" s="1" customFormat="1" ht="15.95" customHeight="1" x14ac:dyDescent="0.25"/>
    <row r="2634" s="1" customFormat="1" ht="15.95" customHeight="1" x14ac:dyDescent="0.25"/>
    <row r="2635" s="1" customFormat="1" ht="15.95" customHeight="1" x14ac:dyDescent="0.25"/>
    <row r="2636" s="1" customFormat="1" ht="15.95" customHeight="1" x14ac:dyDescent="0.25"/>
    <row r="2637" s="1" customFormat="1" ht="15.95" customHeight="1" x14ac:dyDescent="0.25"/>
    <row r="2638" s="1" customFormat="1" ht="15.95" customHeight="1" x14ac:dyDescent="0.25"/>
    <row r="2639" s="1" customFormat="1" ht="15.95" customHeight="1" x14ac:dyDescent="0.25"/>
    <row r="2640" s="1" customFormat="1" ht="15.95" customHeight="1" x14ac:dyDescent="0.25"/>
    <row r="2641" s="1" customFormat="1" ht="15.95" customHeight="1" x14ac:dyDescent="0.25"/>
    <row r="2642" s="1" customFormat="1" ht="15.95" customHeight="1" x14ac:dyDescent="0.25"/>
    <row r="2643" s="1" customFormat="1" ht="15.95" customHeight="1" x14ac:dyDescent="0.25"/>
    <row r="2644" s="1" customFormat="1" ht="15.95" customHeight="1" x14ac:dyDescent="0.25"/>
    <row r="2645" s="1" customFormat="1" ht="15.95" customHeight="1" x14ac:dyDescent="0.25"/>
    <row r="2646" s="1" customFormat="1" ht="15.95" customHeight="1" x14ac:dyDescent="0.25"/>
    <row r="2647" s="1" customFormat="1" ht="15.95" customHeight="1" x14ac:dyDescent="0.25"/>
    <row r="2648" s="1" customFormat="1" ht="15.95" customHeight="1" x14ac:dyDescent="0.25"/>
    <row r="2649" s="1" customFormat="1" ht="15.95" customHeight="1" x14ac:dyDescent="0.25"/>
    <row r="2650" s="1" customFormat="1" ht="15.95" customHeight="1" x14ac:dyDescent="0.25"/>
    <row r="2651" s="1" customFormat="1" ht="15.95" customHeight="1" x14ac:dyDescent="0.25"/>
    <row r="2652" s="1" customFormat="1" ht="15.95" customHeight="1" x14ac:dyDescent="0.25"/>
    <row r="2653" s="1" customFormat="1" ht="15.95" customHeight="1" x14ac:dyDescent="0.25"/>
    <row r="2654" s="1" customFormat="1" ht="15.95" customHeight="1" x14ac:dyDescent="0.25"/>
    <row r="2655" s="1" customFormat="1" ht="15.95" customHeight="1" x14ac:dyDescent="0.25"/>
    <row r="2656" s="1" customFormat="1" ht="15.95" customHeight="1" x14ac:dyDescent="0.25"/>
    <row r="2657" s="1" customFormat="1" ht="15.95" customHeight="1" x14ac:dyDescent="0.25"/>
    <row r="2658" s="1" customFormat="1" ht="15.95" customHeight="1" x14ac:dyDescent="0.25"/>
    <row r="2659" s="1" customFormat="1" ht="15.95" customHeight="1" x14ac:dyDescent="0.25"/>
    <row r="2660" s="1" customFormat="1" ht="15.95" customHeight="1" x14ac:dyDescent="0.25"/>
    <row r="2661" s="1" customFormat="1" ht="15.95" customHeight="1" x14ac:dyDescent="0.25"/>
    <row r="2662" s="1" customFormat="1" ht="15.95" customHeight="1" x14ac:dyDescent="0.25"/>
    <row r="2663" s="1" customFormat="1" ht="15.95" customHeight="1" x14ac:dyDescent="0.25"/>
    <row r="2664" s="1" customFormat="1" ht="15.95" customHeight="1" x14ac:dyDescent="0.25"/>
    <row r="2665" s="1" customFormat="1" ht="15.95" customHeight="1" x14ac:dyDescent="0.25"/>
    <row r="2666" s="1" customFormat="1" ht="15.95" customHeight="1" x14ac:dyDescent="0.25"/>
    <row r="2667" s="1" customFormat="1" ht="15.95" customHeight="1" x14ac:dyDescent="0.25"/>
    <row r="2668" s="1" customFormat="1" ht="15.95" customHeight="1" x14ac:dyDescent="0.25"/>
    <row r="2669" s="1" customFormat="1" ht="15.95" customHeight="1" x14ac:dyDescent="0.25"/>
    <row r="2670" s="1" customFormat="1" ht="15.95" customHeight="1" x14ac:dyDescent="0.25"/>
    <row r="2671" s="1" customFormat="1" ht="15.95" customHeight="1" x14ac:dyDescent="0.25"/>
    <row r="2672" s="1" customFormat="1" ht="15.95" customHeight="1" x14ac:dyDescent="0.25"/>
    <row r="2673" s="1" customFormat="1" ht="15.95" customHeight="1" x14ac:dyDescent="0.25"/>
    <row r="2674" s="1" customFormat="1" ht="15.95" customHeight="1" x14ac:dyDescent="0.25"/>
    <row r="2675" s="1" customFormat="1" ht="15.95" customHeight="1" x14ac:dyDescent="0.25"/>
    <row r="2676" s="1" customFormat="1" ht="15.95" customHeight="1" x14ac:dyDescent="0.25"/>
    <row r="2677" s="1" customFormat="1" ht="15.95" customHeight="1" x14ac:dyDescent="0.25"/>
    <row r="2678" s="1" customFormat="1" ht="15.95" customHeight="1" x14ac:dyDescent="0.25"/>
    <row r="2679" s="1" customFormat="1" ht="15.95" customHeight="1" x14ac:dyDescent="0.25"/>
    <row r="2680" s="1" customFormat="1" ht="15.95" customHeight="1" x14ac:dyDescent="0.25"/>
    <row r="2681" s="1" customFormat="1" ht="15.95" customHeight="1" x14ac:dyDescent="0.25"/>
    <row r="2682" s="1" customFormat="1" ht="15.95" customHeight="1" x14ac:dyDescent="0.25"/>
    <row r="2683" s="1" customFormat="1" ht="15.95" customHeight="1" x14ac:dyDescent="0.25"/>
    <row r="2684" s="1" customFormat="1" ht="15.95" customHeight="1" x14ac:dyDescent="0.25"/>
    <row r="2685" s="1" customFormat="1" ht="15.95" customHeight="1" x14ac:dyDescent="0.25"/>
    <row r="2686" s="1" customFormat="1" ht="15.95" customHeight="1" x14ac:dyDescent="0.25"/>
    <row r="2687" s="1" customFormat="1" ht="15.95" customHeight="1" x14ac:dyDescent="0.25"/>
    <row r="2688" s="1" customFormat="1" ht="15.95" customHeight="1" x14ac:dyDescent="0.25"/>
    <row r="2689" s="1" customFormat="1" ht="15.95" customHeight="1" x14ac:dyDescent="0.25"/>
    <row r="2690" s="1" customFormat="1" ht="15.95" customHeight="1" x14ac:dyDescent="0.25"/>
    <row r="2691" s="1" customFormat="1" ht="15.95" customHeight="1" x14ac:dyDescent="0.25"/>
    <row r="2692" s="1" customFormat="1" ht="15.95" customHeight="1" x14ac:dyDescent="0.25"/>
    <row r="2693" s="1" customFormat="1" ht="15.95" customHeight="1" x14ac:dyDescent="0.25"/>
    <row r="2694" s="1" customFormat="1" ht="15.95" customHeight="1" x14ac:dyDescent="0.25"/>
    <row r="2695" s="1" customFormat="1" ht="15.95" customHeight="1" x14ac:dyDescent="0.25"/>
    <row r="2696" s="1" customFormat="1" ht="15.95" customHeight="1" x14ac:dyDescent="0.25"/>
    <row r="2697" s="1" customFormat="1" ht="15.95" customHeight="1" x14ac:dyDescent="0.25"/>
    <row r="2698" s="1" customFormat="1" ht="15.95" customHeight="1" x14ac:dyDescent="0.25"/>
    <row r="2699" s="1" customFormat="1" ht="15.95" customHeight="1" x14ac:dyDescent="0.25"/>
    <row r="2700" s="1" customFormat="1" ht="15.95" customHeight="1" x14ac:dyDescent="0.25"/>
    <row r="2701" s="1" customFormat="1" ht="15.95" customHeight="1" x14ac:dyDescent="0.25"/>
    <row r="2702" s="1" customFormat="1" ht="15.95" customHeight="1" x14ac:dyDescent="0.25"/>
    <row r="2703" s="1" customFormat="1" ht="15.95" customHeight="1" x14ac:dyDescent="0.25"/>
    <row r="2704" s="1" customFormat="1" ht="15.95" customHeight="1" x14ac:dyDescent="0.25"/>
    <row r="2705" s="1" customFormat="1" ht="15.95" customHeight="1" x14ac:dyDescent="0.25"/>
    <row r="2706" s="1" customFormat="1" ht="15.95" customHeight="1" x14ac:dyDescent="0.25"/>
    <row r="2707" s="1" customFormat="1" ht="15.95" customHeight="1" x14ac:dyDescent="0.25"/>
    <row r="2708" s="1" customFormat="1" ht="15.95" customHeight="1" x14ac:dyDescent="0.25"/>
    <row r="2709" s="1" customFormat="1" ht="15.95" customHeight="1" x14ac:dyDescent="0.25"/>
    <row r="2710" s="1" customFormat="1" ht="15.95" customHeight="1" x14ac:dyDescent="0.25"/>
    <row r="2711" s="1" customFormat="1" ht="15.95" customHeight="1" x14ac:dyDescent="0.25"/>
    <row r="2712" s="1" customFormat="1" ht="15.95" customHeight="1" x14ac:dyDescent="0.25"/>
    <row r="2713" s="1" customFormat="1" ht="15.95" customHeight="1" x14ac:dyDescent="0.25"/>
    <row r="2714" s="1" customFormat="1" ht="15.95" customHeight="1" x14ac:dyDescent="0.25"/>
    <row r="2715" s="1" customFormat="1" ht="15.95" customHeight="1" x14ac:dyDescent="0.25"/>
    <row r="2716" s="1" customFormat="1" ht="15.95" customHeight="1" x14ac:dyDescent="0.25"/>
    <row r="2717" s="1" customFormat="1" ht="15.95" customHeight="1" x14ac:dyDescent="0.25"/>
    <row r="2718" s="1" customFormat="1" ht="15.95" customHeight="1" x14ac:dyDescent="0.25"/>
    <row r="2719" s="1" customFormat="1" ht="15.95" customHeight="1" x14ac:dyDescent="0.25"/>
    <row r="2720" s="1" customFormat="1" ht="15.95" customHeight="1" x14ac:dyDescent="0.25"/>
    <row r="2721" s="1" customFormat="1" ht="15.95" customHeight="1" x14ac:dyDescent="0.25"/>
    <row r="2722" s="1" customFormat="1" ht="15.95" customHeight="1" x14ac:dyDescent="0.25"/>
    <row r="2723" s="1" customFormat="1" ht="15.95" customHeight="1" x14ac:dyDescent="0.25"/>
    <row r="2724" s="1" customFormat="1" ht="15.95" customHeight="1" x14ac:dyDescent="0.25"/>
    <row r="2725" s="1" customFormat="1" ht="15.95" customHeight="1" x14ac:dyDescent="0.25"/>
    <row r="2726" s="1" customFormat="1" ht="15.95" customHeight="1" x14ac:dyDescent="0.25"/>
    <row r="2727" s="1" customFormat="1" ht="15.95" customHeight="1" x14ac:dyDescent="0.25"/>
    <row r="2728" s="1" customFormat="1" ht="15.95" customHeight="1" x14ac:dyDescent="0.25"/>
    <row r="2729" s="1" customFormat="1" ht="15.95" customHeight="1" x14ac:dyDescent="0.25"/>
    <row r="2730" s="1" customFormat="1" ht="15.95" customHeight="1" x14ac:dyDescent="0.25"/>
    <row r="2731" s="1" customFormat="1" ht="15.95" customHeight="1" x14ac:dyDescent="0.25"/>
    <row r="2732" s="1" customFormat="1" ht="15.95" customHeight="1" x14ac:dyDescent="0.25"/>
    <row r="2733" s="1" customFormat="1" ht="15.95" customHeight="1" x14ac:dyDescent="0.25"/>
    <row r="2734" s="1" customFormat="1" ht="15.95" customHeight="1" x14ac:dyDescent="0.25"/>
    <row r="2735" s="1" customFormat="1" ht="15.95" customHeight="1" x14ac:dyDescent="0.25"/>
    <row r="2736" s="1" customFormat="1" ht="15.95" customHeight="1" x14ac:dyDescent="0.25"/>
    <row r="2737" s="1" customFormat="1" ht="15.95" customHeight="1" x14ac:dyDescent="0.25"/>
    <row r="2738" s="1" customFormat="1" ht="15.95" customHeight="1" x14ac:dyDescent="0.25"/>
    <row r="2739" s="1" customFormat="1" ht="15.95" customHeight="1" x14ac:dyDescent="0.25"/>
    <row r="2740" s="1" customFormat="1" ht="15.95" customHeight="1" x14ac:dyDescent="0.25"/>
    <row r="2741" s="1" customFormat="1" ht="15.95" customHeight="1" x14ac:dyDescent="0.25"/>
    <row r="2742" s="1" customFormat="1" ht="15.95" customHeight="1" x14ac:dyDescent="0.25"/>
    <row r="2743" s="1" customFormat="1" ht="15.95" customHeight="1" x14ac:dyDescent="0.25"/>
    <row r="2744" s="1" customFormat="1" ht="15.95" customHeight="1" x14ac:dyDescent="0.25"/>
    <row r="2745" s="1" customFormat="1" ht="15.95" customHeight="1" x14ac:dyDescent="0.25"/>
    <row r="2746" s="1" customFormat="1" ht="15.95" customHeight="1" x14ac:dyDescent="0.25"/>
    <row r="2747" s="1" customFormat="1" ht="15.95" customHeight="1" x14ac:dyDescent="0.25"/>
    <row r="2748" s="1" customFormat="1" ht="15.95" customHeight="1" x14ac:dyDescent="0.25"/>
    <row r="2749" s="1" customFormat="1" ht="15.95" customHeight="1" x14ac:dyDescent="0.25"/>
    <row r="2750" s="1" customFormat="1" ht="15.95" customHeight="1" x14ac:dyDescent="0.25"/>
    <row r="2751" s="1" customFormat="1" ht="15.95" customHeight="1" x14ac:dyDescent="0.25"/>
    <row r="2752" s="1" customFormat="1" ht="15.95" customHeight="1" x14ac:dyDescent="0.25"/>
    <row r="2753" s="1" customFormat="1" ht="15.95" customHeight="1" x14ac:dyDescent="0.25"/>
    <row r="2754" s="1" customFormat="1" ht="15.95" customHeight="1" x14ac:dyDescent="0.25"/>
    <row r="2755" s="1" customFormat="1" ht="15.95" customHeight="1" x14ac:dyDescent="0.25"/>
    <row r="2756" s="1" customFormat="1" ht="15.95" customHeight="1" x14ac:dyDescent="0.25"/>
    <row r="2757" s="1" customFormat="1" ht="15.95" customHeight="1" x14ac:dyDescent="0.25"/>
    <row r="2758" s="1" customFormat="1" ht="15.95" customHeight="1" x14ac:dyDescent="0.25"/>
    <row r="2759" s="1" customFormat="1" ht="15.95" customHeight="1" x14ac:dyDescent="0.25"/>
    <row r="2760" s="1" customFormat="1" ht="15.95" customHeight="1" x14ac:dyDescent="0.25"/>
    <row r="2761" s="1" customFormat="1" ht="15.95" customHeight="1" x14ac:dyDescent="0.25"/>
    <row r="2762" s="1" customFormat="1" ht="15.95" customHeight="1" x14ac:dyDescent="0.25"/>
    <row r="2763" s="1" customFormat="1" ht="15.95" customHeight="1" x14ac:dyDescent="0.25"/>
    <row r="2764" s="1" customFormat="1" ht="15.95" customHeight="1" x14ac:dyDescent="0.25"/>
    <row r="2765" s="1" customFormat="1" ht="15.95" customHeight="1" x14ac:dyDescent="0.25"/>
    <row r="2766" s="1" customFormat="1" ht="15.95" customHeight="1" x14ac:dyDescent="0.25"/>
    <row r="2767" s="1" customFormat="1" ht="15.95" customHeight="1" x14ac:dyDescent="0.25"/>
    <row r="2768" s="1" customFormat="1" ht="15.95" customHeight="1" x14ac:dyDescent="0.25"/>
    <row r="2769" s="1" customFormat="1" ht="15.95" customHeight="1" x14ac:dyDescent="0.25"/>
    <row r="2770" s="1" customFormat="1" ht="15.95" customHeight="1" x14ac:dyDescent="0.25"/>
    <row r="2771" s="1" customFormat="1" ht="15.95" customHeight="1" x14ac:dyDescent="0.25"/>
    <row r="2772" s="1" customFormat="1" ht="15.95" customHeight="1" x14ac:dyDescent="0.25"/>
    <row r="2773" s="1" customFormat="1" ht="15.95" customHeight="1" x14ac:dyDescent="0.25"/>
    <row r="2774" s="1" customFormat="1" ht="15.95" customHeight="1" x14ac:dyDescent="0.25"/>
    <row r="2775" s="1" customFormat="1" ht="15.95" customHeight="1" x14ac:dyDescent="0.25"/>
    <row r="2776" s="1" customFormat="1" ht="15.95" customHeight="1" x14ac:dyDescent="0.25"/>
    <row r="2777" s="1" customFormat="1" ht="15.95" customHeight="1" x14ac:dyDescent="0.25"/>
    <row r="2778" s="1" customFormat="1" ht="15.95" customHeight="1" x14ac:dyDescent="0.25"/>
    <row r="2779" s="1" customFormat="1" ht="15.95" customHeight="1" x14ac:dyDescent="0.25"/>
    <row r="2780" s="1" customFormat="1" ht="15.95" customHeight="1" x14ac:dyDescent="0.25"/>
    <row r="2781" s="1" customFormat="1" ht="15.95" customHeight="1" x14ac:dyDescent="0.25"/>
    <row r="2782" s="1" customFormat="1" ht="15.95" customHeight="1" x14ac:dyDescent="0.25"/>
    <row r="2783" s="1" customFormat="1" ht="15.95" customHeight="1" x14ac:dyDescent="0.25"/>
    <row r="2784" s="1" customFormat="1" ht="15.95" customHeight="1" x14ac:dyDescent="0.25"/>
    <row r="2785" s="1" customFormat="1" ht="15.95" customHeight="1" x14ac:dyDescent="0.25"/>
    <row r="2786" s="1" customFormat="1" ht="15.95" customHeight="1" x14ac:dyDescent="0.25"/>
    <row r="2787" s="1" customFormat="1" ht="15.95" customHeight="1" x14ac:dyDescent="0.25"/>
    <row r="2788" s="1" customFormat="1" ht="15.95" customHeight="1" x14ac:dyDescent="0.25"/>
    <row r="2789" s="1" customFormat="1" ht="15.95" customHeight="1" x14ac:dyDescent="0.25"/>
    <row r="2790" s="1" customFormat="1" ht="15.95" customHeight="1" x14ac:dyDescent="0.25"/>
    <row r="2791" s="1" customFormat="1" ht="15.95" customHeight="1" x14ac:dyDescent="0.25"/>
    <row r="2792" s="1" customFormat="1" ht="15.95" customHeight="1" x14ac:dyDescent="0.25"/>
    <row r="2793" s="1" customFormat="1" ht="15.95" customHeight="1" x14ac:dyDescent="0.25"/>
    <row r="2794" s="1" customFormat="1" ht="15.95" customHeight="1" x14ac:dyDescent="0.25"/>
    <row r="2795" s="1" customFormat="1" ht="15.95" customHeight="1" x14ac:dyDescent="0.25"/>
    <row r="2796" s="1" customFormat="1" ht="15.95" customHeight="1" x14ac:dyDescent="0.25"/>
    <row r="2797" s="1" customFormat="1" ht="15.95" customHeight="1" x14ac:dyDescent="0.25"/>
    <row r="2798" s="1" customFormat="1" ht="15.95" customHeight="1" x14ac:dyDescent="0.25"/>
    <row r="2799" s="1" customFormat="1" ht="15.95" customHeight="1" x14ac:dyDescent="0.25"/>
    <row r="2800" s="1" customFormat="1" ht="15.95" customHeight="1" x14ac:dyDescent="0.25"/>
    <row r="2801" s="1" customFormat="1" ht="15.95" customHeight="1" x14ac:dyDescent="0.25"/>
    <row r="2802" s="1" customFormat="1" ht="15.95" customHeight="1" x14ac:dyDescent="0.25"/>
    <row r="2803" s="1" customFormat="1" ht="15.95" customHeight="1" x14ac:dyDescent="0.25"/>
    <row r="2804" s="1" customFormat="1" ht="15.95" customHeight="1" x14ac:dyDescent="0.25"/>
    <row r="2805" s="1" customFormat="1" ht="15.95" customHeight="1" x14ac:dyDescent="0.25"/>
    <row r="2806" s="1" customFormat="1" ht="15.95" customHeight="1" x14ac:dyDescent="0.25"/>
    <row r="2807" s="1" customFormat="1" ht="15.95" customHeight="1" x14ac:dyDescent="0.25"/>
    <row r="2808" s="1" customFormat="1" ht="15.95" customHeight="1" x14ac:dyDescent="0.25"/>
    <row r="2809" s="1" customFormat="1" ht="15.95" customHeight="1" x14ac:dyDescent="0.25"/>
    <row r="2810" s="1" customFormat="1" ht="15.95" customHeight="1" x14ac:dyDescent="0.25"/>
    <row r="2811" s="1" customFormat="1" ht="15.95" customHeight="1" x14ac:dyDescent="0.25"/>
    <row r="2812" s="1" customFormat="1" ht="15.95" customHeight="1" x14ac:dyDescent="0.25"/>
    <row r="2813" s="1" customFormat="1" ht="15.95" customHeight="1" x14ac:dyDescent="0.25"/>
    <row r="2814" s="1" customFormat="1" ht="15.95" customHeight="1" x14ac:dyDescent="0.25"/>
    <row r="2815" s="1" customFormat="1" ht="15.95" customHeight="1" x14ac:dyDescent="0.25"/>
    <row r="2816" s="1" customFormat="1" ht="15.95" customHeight="1" x14ac:dyDescent="0.25"/>
    <row r="2817" s="1" customFormat="1" ht="15.95" customHeight="1" x14ac:dyDescent="0.25"/>
    <row r="2818" s="1" customFormat="1" ht="15.95" customHeight="1" x14ac:dyDescent="0.25"/>
    <row r="2819" s="1" customFormat="1" ht="15.95" customHeight="1" x14ac:dyDescent="0.25"/>
    <row r="2820" s="1" customFormat="1" ht="15.95" customHeight="1" x14ac:dyDescent="0.25"/>
    <row r="2821" s="1" customFormat="1" ht="15.95" customHeight="1" x14ac:dyDescent="0.25"/>
    <row r="2822" s="1" customFormat="1" ht="15.95" customHeight="1" x14ac:dyDescent="0.25"/>
    <row r="2823" s="1" customFormat="1" ht="15.95" customHeight="1" x14ac:dyDescent="0.25"/>
    <row r="2824" s="1" customFormat="1" ht="15.95" customHeight="1" x14ac:dyDescent="0.25"/>
    <row r="2825" s="1" customFormat="1" ht="15.95" customHeight="1" x14ac:dyDescent="0.25"/>
    <row r="2826" s="1" customFormat="1" ht="15.95" customHeight="1" x14ac:dyDescent="0.25"/>
    <row r="2827" s="1" customFormat="1" ht="15.95" customHeight="1" x14ac:dyDescent="0.25"/>
    <row r="2828" s="1" customFormat="1" ht="15.95" customHeight="1" x14ac:dyDescent="0.25"/>
    <row r="2829" s="1" customFormat="1" ht="15.95" customHeight="1" x14ac:dyDescent="0.25"/>
    <row r="2830" s="1" customFormat="1" ht="15.95" customHeight="1" x14ac:dyDescent="0.25"/>
    <row r="2831" s="1" customFormat="1" ht="15.95" customHeight="1" x14ac:dyDescent="0.25"/>
    <row r="2832" s="1" customFormat="1" ht="15.95" customHeight="1" x14ac:dyDescent="0.25"/>
    <row r="2833" s="1" customFormat="1" ht="15.95" customHeight="1" x14ac:dyDescent="0.25"/>
    <row r="2834" s="1" customFormat="1" ht="15.95" customHeight="1" x14ac:dyDescent="0.25"/>
    <row r="2835" s="1" customFormat="1" ht="15.95" customHeight="1" x14ac:dyDescent="0.25"/>
    <row r="2836" s="1" customFormat="1" ht="15.95" customHeight="1" x14ac:dyDescent="0.25"/>
    <row r="2837" s="1" customFormat="1" ht="15.95" customHeight="1" x14ac:dyDescent="0.25"/>
    <row r="2838" s="1" customFormat="1" ht="15.95" customHeight="1" x14ac:dyDescent="0.25"/>
    <row r="2839" s="1" customFormat="1" ht="15.95" customHeight="1" x14ac:dyDescent="0.25"/>
    <row r="2840" s="1" customFormat="1" ht="15.95" customHeight="1" x14ac:dyDescent="0.25"/>
    <row r="2841" s="1" customFormat="1" ht="15.95" customHeight="1" x14ac:dyDescent="0.25"/>
    <row r="2842" s="1" customFormat="1" ht="15.95" customHeight="1" x14ac:dyDescent="0.25"/>
    <row r="2843" s="1" customFormat="1" ht="15.95" customHeight="1" x14ac:dyDescent="0.25"/>
    <row r="2844" s="1" customFormat="1" ht="15.95" customHeight="1" x14ac:dyDescent="0.25"/>
    <row r="2845" s="1" customFormat="1" ht="15.95" customHeight="1" x14ac:dyDescent="0.25"/>
    <row r="2846" s="1" customFormat="1" ht="15.95" customHeight="1" x14ac:dyDescent="0.25"/>
    <row r="2847" s="1" customFormat="1" ht="15.95" customHeight="1" x14ac:dyDescent="0.25"/>
    <row r="2848" s="1" customFormat="1" ht="15.95" customHeight="1" x14ac:dyDescent="0.25"/>
    <row r="2849" s="1" customFormat="1" ht="15.95" customHeight="1" x14ac:dyDescent="0.25"/>
    <row r="2850" s="1" customFormat="1" ht="15.95" customHeight="1" x14ac:dyDescent="0.25"/>
    <row r="2851" s="1" customFormat="1" ht="15.95" customHeight="1" x14ac:dyDescent="0.25"/>
    <row r="2852" s="1" customFormat="1" ht="15.95" customHeight="1" x14ac:dyDescent="0.25"/>
    <row r="2853" s="1" customFormat="1" ht="15.95" customHeight="1" x14ac:dyDescent="0.25"/>
    <row r="2854" s="1" customFormat="1" ht="15.95" customHeight="1" x14ac:dyDescent="0.25"/>
    <row r="2855" s="1" customFormat="1" ht="15.95" customHeight="1" x14ac:dyDescent="0.25"/>
    <row r="2856" s="1" customFormat="1" ht="15.95" customHeight="1" x14ac:dyDescent="0.25"/>
    <row r="2857" s="1" customFormat="1" ht="15.95" customHeight="1" x14ac:dyDescent="0.25"/>
    <row r="2858" s="1" customFormat="1" ht="15.95" customHeight="1" x14ac:dyDescent="0.25"/>
    <row r="2859" s="1" customFormat="1" ht="15.95" customHeight="1" x14ac:dyDescent="0.25"/>
    <row r="2860" s="1" customFormat="1" ht="15.95" customHeight="1" x14ac:dyDescent="0.25"/>
    <row r="2861" s="1" customFormat="1" ht="15.95" customHeight="1" x14ac:dyDescent="0.25"/>
    <row r="2862" s="1" customFormat="1" ht="15.95" customHeight="1" x14ac:dyDescent="0.25"/>
    <row r="2863" s="1" customFormat="1" ht="15.95" customHeight="1" x14ac:dyDescent="0.25"/>
    <row r="2864" s="1" customFormat="1" ht="15.95" customHeight="1" x14ac:dyDescent="0.25"/>
    <row r="2865" s="1" customFormat="1" ht="15.95" customHeight="1" x14ac:dyDescent="0.25"/>
    <row r="2866" s="1" customFormat="1" ht="15.95" customHeight="1" x14ac:dyDescent="0.25"/>
    <row r="2867" s="1" customFormat="1" ht="15.95" customHeight="1" x14ac:dyDescent="0.25"/>
    <row r="2868" s="1" customFormat="1" ht="15.95" customHeight="1" x14ac:dyDescent="0.25"/>
    <row r="2869" s="1" customFormat="1" ht="15.95" customHeight="1" x14ac:dyDescent="0.25"/>
    <row r="2870" s="1" customFormat="1" ht="15.95" customHeight="1" x14ac:dyDescent="0.25"/>
    <row r="2871" s="1" customFormat="1" ht="15.95" customHeight="1" x14ac:dyDescent="0.25"/>
    <row r="2872" s="1" customFormat="1" ht="15.95" customHeight="1" x14ac:dyDescent="0.25"/>
    <row r="2873" s="1" customFormat="1" ht="15.95" customHeight="1" x14ac:dyDescent="0.25"/>
    <row r="2874" s="1" customFormat="1" ht="15.95" customHeight="1" x14ac:dyDescent="0.25"/>
    <row r="2875" s="1" customFormat="1" ht="15.95" customHeight="1" x14ac:dyDescent="0.25"/>
    <row r="2876" s="1" customFormat="1" ht="15.95" customHeight="1" x14ac:dyDescent="0.25"/>
    <row r="2877" s="1" customFormat="1" ht="15.95" customHeight="1" x14ac:dyDescent="0.25"/>
    <row r="2878" s="1" customFormat="1" ht="15.95" customHeight="1" x14ac:dyDescent="0.25"/>
    <row r="2879" s="1" customFormat="1" ht="15.95" customHeight="1" x14ac:dyDescent="0.25"/>
    <row r="2880" s="1" customFormat="1" ht="15.95" customHeight="1" x14ac:dyDescent="0.25"/>
    <row r="2881" s="1" customFormat="1" ht="15.95" customHeight="1" x14ac:dyDescent="0.25"/>
    <row r="2882" s="1" customFormat="1" ht="15.95" customHeight="1" x14ac:dyDescent="0.25"/>
    <row r="2883" s="1" customFormat="1" ht="15.95" customHeight="1" x14ac:dyDescent="0.25"/>
    <row r="2884" s="1" customFormat="1" ht="15.95" customHeight="1" x14ac:dyDescent="0.25"/>
    <row r="2885" s="1" customFormat="1" ht="15.95" customHeight="1" x14ac:dyDescent="0.25"/>
    <row r="2886" s="1" customFormat="1" ht="15.95" customHeight="1" x14ac:dyDescent="0.25"/>
    <row r="2887" s="1" customFormat="1" ht="15.95" customHeight="1" x14ac:dyDescent="0.25"/>
    <row r="2888" s="1" customFormat="1" ht="15.95" customHeight="1" x14ac:dyDescent="0.25"/>
    <row r="2889" s="1" customFormat="1" ht="15.95" customHeight="1" x14ac:dyDescent="0.25"/>
    <row r="2890" s="1" customFormat="1" ht="15.95" customHeight="1" x14ac:dyDescent="0.25"/>
    <row r="2891" s="1" customFormat="1" ht="15.95" customHeight="1" x14ac:dyDescent="0.25"/>
    <row r="2892" s="1" customFormat="1" ht="15.95" customHeight="1" x14ac:dyDescent="0.25"/>
    <row r="2893" s="1" customFormat="1" ht="15.95" customHeight="1" x14ac:dyDescent="0.25"/>
    <row r="2894" s="1" customFormat="1" ht="15.95" customHeight="1" x14ac:dyDescent="0.25"/>
    <row r="2895" s="1" customFormat="1" ht="15.95" customHeight="1" x14ac:dyDescent="0.25"/>
    <row r="2896" s="1" customFormat="1" ht="15.95" customHeight="1" x14ac:dyDescent="0.25"/>
    <row r="2897" s="1" customFormat="1" ht="15.95" customHeight="1" x14ac:dyDescent="0.25"/>
    <row r="2898" s="1" customFormat="1" ht="15.95" customHeight="1" x14ac:dyDescent="0.25"/>
    <row r="2899" s="1" customFormat="1" ht="15.95" customHeight="1" x14ac:dyDescent="0.25"/>
    <row r="2900" s="1" customFormat="1" ht="15.95" customHeight="1" x14ac:dyDescent="0.25"/>
    <row r="2901" s="1" customFormat="1" ht="15.95" customHeight="1" x14ac:dyDescent="0.25"/>
    <row r="2902" s="1" customFormat="1" ht="15.95" customHeight="1" x14ac:dyDescent="0.25"/>
    <row r="2903" s="1" customFormat="1" ht="15.95" customHeight="1" x14ac:dyDescent="0.25"/>
    <row r="2904" s="1" customFormat="1" ht="15.95" customHeight="1" x14ac:dyDescent="0.25"/>
    <row r="2905" s="1" customFormat="1" ht="15.95" customHeight="1" x14ac:dyDescent="0.25"/>
    <row r="2906" s="1" customFormat="1" ht="15.95" customHeight="1" x14ac:dyDescent="0.25"/>
    <row r="2907" s="1" customFormat="1" ht="15.95" customHeight="1" x14ac:dyDescent="0.25"/>
    <row r="2908" s="1" customFormat="1" ht="15.95" customHeight="1" x14ac:dyDescent="0.25"/>
    <row r="2909" s="1" customFormat="1" ht="15.95" customHeight="1" x14ac:dyDescent="0.25"/>
    <row r="2910" s="1" customFormat="1" ht="15.95" customHeight="1" x14ac:dyDescent="0.25"/>
    <row r="2911" s="1" customFormat="1" ht="15.95" customHeight="1" x14ac:dyDescent="0.25"/>
    <row r="2912" s="1" customFormat="1" ht="15.95" customHeight="1" x14ac:dyDescent="0.25"/>
    <row r="2913" s="1" customFormat="1" ht="15.95" customHeight="1" x14ac:dyDescent="0.25"/>
    <row r="2914" s="1" customFormat="1" ht="15.95" customHeight="1" x14ac:dyDescent="0.25"/>
    <row r="2915" s="1" customFormat="1" ht="15.95" customHeight="1" x14ac:dyDescent="0.25"/>
    <row r="2916" s="1" customFormat="1" ht="15.95" customHeight="1" x14ac:dyDescent="0.25"/>
    <row r="2917" s="1" customFormat="1" ht="15.95" customHeight="1" x14ac:dyDescent="0.25"/>
    <row r="2918" s="1" customFormat="1" ht="15.95" customHeight="1" x14ac:dyDescent="0.25"/>
    <row r="2919" s="1" customFormat="1" ht="15.95" customHeight="1" x14ac:dyDescent="0.25"/>
    <row r="2920" s="1" customFormat="1" ht="15.95" customHeight="1" x14ac:dyDescent="0.25"/>
    <row r="2921" s="1" customFormat="1" ht="15.95" customHeight="1" x14ac:dyDescent="0.25"/>
    <row r="2922" s="1" customFormat="1" ht="15.95" customHeight="1" x14ac:dyDescent="0.25"/>
    <row r="2923" s="1" customFormat="1" ht="15.95" customHeight="1" x14ac:dyDescent="0.25"/>
    <row r="2924" s="1" customFormat="1" ht="15.95" customHeight="1" x14ac:dyDescent="0.25"/>
    <row r="2925" s="1" customFormat="1" ht="15.95" customHeight="1" x14ac:dyDescent="0.25"/>
    <row r="2926" s="1" customFormat="1" ht="15.95" customHeight="1" x14ac:dyDescent="0.25"/>
    <row r="2927" s="1" customFormat="1" ht="15.95" customHeight="1" x14ac:dyDescent="0.25"/>
    <row r="2928" s="1" customFormat="1" ht="15.95" customHeight="1" x14ac:dyDescent="0.25"/>
    <row r="2929" s="1" customFormat="1" ht="15.95" customHeight="1" x14ac:dyDescent="0.25"/>
    <row r="2930" s="1" customFormat="1" ht="15.95" customHeight="1" x14ac:dyDescent="0.25"/>
    <row r="2931" s="1" customFormat="1" ht="15.95" customHeight="1" x14ac:dyDescent="0.25"/>
    <row r="2932" s="1" customFormat="1" ht="15.95" customHeight="1" x14ac:dyDescent="0.25"/>
    <row r="2933" s="1" customFormat="1" ht="15.95" customHeight="1" x14ac:dyDescent="0.25"/>
    <row r="2934" s="1" customFormat="1" ht="15.95" customHeight="1" x14ac:dyDescent="0.25"/>
    <row r="2935" s="1" customFormat="1" ht="15.95" customHeight="1" x14ac:dyDescent="0.25"/>
    <row r="2936" s="1" customFormat="1" ht="15.95" customHeight="1" x14ac:dyDescent="0.25"/>
    <row r="2937" s="1" customFormat="1" ht="15.95" customHeight="1" x14ac:dyDescent="0.25"/>
    <row r="2938" s="1" customFormat="1" ht="15.95" customHeight="1" x14ac:dyDescent="0.25"/>
    <row r="2939" s="1" customFormat="1" ht="15.95" customHeight="1" x14ac:dyDescent="0.25"/>
    <row r="2940" s="1" customFormat="1" ht="15.95" customHeight="1" x14ac:dyDescent="0.25"/>
    <row r="2941" s="1" customFormat="1" ht="15.95" customHeight="1" x14ac:dyDescent="0.25"/>
    <row r="2942" s="1" customFormat="1" ht="15.95" customHeight="1" x14ac:dyDescent="0.25"/>
    <row r="2943" s="1" customFormat="1" ht="15.95" customHeight="1" x14ac:dyDescent="0.25"/>
    <row r="2944" s="1" customFormat="1" ht="15.95" customHeight="1" x14ac:dyDescent="0.25"/>
    <row r="2945" s="1" customFormat="1" ht="15.95" customHeight="1" x14ac:dyDescent="0.25"/>
    <row r="2946" s="1" customFormat="1" ht="15.95" customHeight="1" x14ac:dyDescent="0.25"/>
    <row r="2947" s="1" customFormat="1" ht="15.95" customHeight="1" x14ac:dyDescent="0.25"/>
    <row r="2948" s="1" customFormat="1" ht="15.95" customHeight="1" x14ac:dyDescent="0.25"/>
    <row r="2949" s="1" customFormat="1" ht="15.95" customHeight="1" x14ac:dyDescent="0.25"/>
    <row r="2950" s="1" customFormat="1" ht="15.95" customHeight="1" x14ac:dyDescent="0.25"/>
    <row r="2951" s="1" customFormat="1" ht="15.95" customHeight="1" x14ac:dyDescent="0.25"/>
    <row r="2952" s="1" customFormat="1" ht="15.95" customHeight="1" x14ac:dyDescent="0.25"/>
    <row r="2953" s="1" customFormat="1" ht="15.95" customHeight="1" x14ac:dyDescent="0.25"/>
    <row r="2954" s="1" customFormat="1" ht="15.95" customHeight="1" x14ac:dyDescent="0.25"/>
    <row r="2955" s="1" customFormat="1" ht="15.95" customHeight="1" x14ac:dyDescent="0.25"/>
    <row r="2956" s="1" customFormat="1" ht="15.95" customHeight="1" x14ac:dyDescent="0.25"/>
    <row r="2957" s="1" customFormat="1" ht="15.95" customHeight="1" x14ac:dyDescent="0.25"/>
    <row r="2958" s="1" customFormat="1" ht="15.95" customHeight="1" x14ac:dyDescent="0.25"/>
    <row r="2959" s="1" customFormat="1" ht="15.95" customHeight="1" x14ac:dyDescent="0.25"/>
    <row r="2960" s="1" customFormat="1" ht="15.95" customHeight="1" x14ac:dyDescent="0.25"/>
    <row r="2961" s="1" customFormat="1" ht="15.95" customHeight="1" x14ac:dyDescent="0.25"/>
    <row r="2962" s="1" customFormat="1" ht="15.95" customHeight="1" x14ac:dyDescent="0.25"/>
    <row r="2963" s="1" customFormat="1" ht="15.95" customHeight="1" x14ac:dyDescent="0.25"/>
    <row r="2964" s="1" customFormat="1" ht="15.95" customHeight="1" x14ac:dyDescent="0.25"/>
    <row r="2965" s="1" customFormat="1" ht="15.95" customHeight="1" x14ac:dyDescent="0.25"/>
    <row r="2966" s="1" customFormat="1" ht="15.95" customHeight="1" x14ac:dyDescent="0.25"/>
    <row r="2967" s="1" customFormat="1" ht="15.95" customHeight="1" x14ac:dyDescent="0.25"/>
    <row r="2968" s="1" customFormat="1" ht="15.95" customHeight="1" x14ac:dyDescent="0.25"/>
    <row r="2969" s="1" customFormat="1" ht="15.95" customHeight="1" x14ac:dyDescent="0.25"/>
    <row r="2970" s="1" customFormat="1" ht="15.95" customHeight="1" x14ac:dyDescent="0.25"/>
    <row r="2971" s="1" customFormat="1" ht="15.95" customHeight="1" x14ac:dyDescent="0.25"/>
    <row r="2972" s="1" customFormat="1" ht="15.95" customHeight="1" x14ac:dyDescent="0.25"/>
    <row r="2973" s="1" customFormat="1" ht="15.95" customHeight="1" x14ac:dyDescent="0.25"/>
    <row r="2974" s="1" customFormat="1" ht="15.95" customHeight="1" x14ac:dyDescent="0.25"/>
    <row r="2975" s="1" customFormat="1" ht="15.95" customHeight="1" x14ac:dyDescent="0.25"/>
    <row r="2976" s="1" customFormat="1" ht="15.95" customHeight="1" x14ac:dyDescent="0.25"/>
    <row r="2977" s="1" customFormat="1" ht="15.95" customHeight="1" x14ac:dyDescent="0.25"/>
    <row r="2978" s="1" customFormat="1" ht="15.95" customHeight="1" x14ac:dyDescent="0.25"/>
    <row r="2979" s="1" customFormat="1" ht="15.95" customHeight="1" x14ac:dyDescent="0.25"/>
    <row r="2980" s="1" customFormat="1" ht="15.95" customHeight="1" x14ac:dyDescent="0.25"/>
    <row r="2981" s="1" customFormat="1" ht="15.95" customHeight="1" x14ac:dyDescent="0.25"/>
    <row r="2982" s="1" customFormat="1" ht="15.95" customHeight="1" x14ac:dyDescent="0.25"/>
    <row r="2983" s="1" customFormat="1" ht="15.95" customHeight="1" x14ac:dyDescent="0.25"/>
    <row r="2984" s="1" customFormat="1" ht="15.95" customHeight="1" x14ac:dyDescent="0.25"/>
    <row r="2985" s="1" customFormat="1" ht="15.95" customHeight="1" x14ac:dyDescent="0.25"/>
    <row r="2986" s="1" customFormat="1" ht="15.95" customHeight="1" x14ac:dyDescent="0.25"/>
    <row r="2987" s="1" customFormat="1" ht="15.95" customHeight="1" x14ac:dyDescent="0.25"/>
    <row r="2988" s="1" customFormat="1" ht="15.95" customHeight="1" x14ac:dyDescent="0.25"/>
    <row r="2989" s="1" customFormat="1" ht="15.95" customHeight="1" x14ac:dyDescent="0.25"/>
    <row r="2990" s="1" customFormat="1" ht="15.95" customHeight="1" x14ac:dyDescent="0.25"/>
    <row r="2991" s="1" customFormat="1" ht="15.95" customHeight="1" x14ac:dyDescent="0.25"/>
    <row r="2992" s="1" customFormat="1" ht="15.95" customHeight="1" x14ac:dyDescent="0.25"/>
    <row r="2993" s="1" customFormat="1" ht="15.95" customHeight="1" x14ac:dyDescent="0.25"/>
    <row r="2994" s="1" customFormat="1" ht="15.95" customHeight="1" x14ac:dyDescent="0.25"/>
    <row r="2995" s="1" customFormat="1" ht="15.95" customHeight="1" x14ac:dyDescent="0.25"/>
    <row r="2996" s="1" customFormat="1" ht="15.95" customHeight="1" x14ac:dyDescent="0.25"/>
    <row r="2997" s="1" customFormat="1" ht="15.95" customHeight="1" x14ac:dyDescent="0.25"/>
    <row r="2998" s="1" customFormat="1" ht="15.95" customHeight="1" x14ac:dyDescent="0.25"/>
    <row r="2999" s="1" customFormat="1" ht="15.95" customHeight="1" x14ac:dyDescent="0.25"/>
    <row r="3000" s="1" customFormat="1" ht="15.95" customHeight="1" x14ac:dyDescent="0.25"/>
    <row r="3001" s="1" customFormat="1" ht="15.95" customHeight="1" x14ac:dyDescent="0.25"/>
    <row r="3002" s="1" customFormat="1" ht="15.95" customHeight="1" x14ac:dyDescent="0.25"/>
    <row r="3003" s="1" customFormat="1" ht="15.95" customHeight="1" x14ac:dyDescent="0.25"/>
    <row r="3004" s="1" customFormat="1" ht="15.95" customHeight="1" x14ac:dyDescent="0.25"/>
    <row r="3005" s="1" customFormat="1" ht="15.95" customHeight="1" x14ac:dyDescent="0.25"/>
    <row r="3006" s="1" customFormat="1" ht="15.95" customHeight="1" x14ac:dyDescent="0.25"/>
    <row r="3007" s="1" customFormat="1" ht="15.95" customHeight="1" x14ac:dyDescent="0.25"/>
    <row r="3008" s="1" customFormat="1" ht="15.95" customHeight="1" x14ac:dyDescent="0.25"/>
    <row r="3009" s="1" customFormat="1" ht="15.95" customHeight="1" x14ac:dyDescent="0.25"/>
    <row r="3010" s="1" customFormat="1" ht="15.95" customHeight="1" x14ac:dyDescent="0.25"/>
    <row r="3011" s="1" customFormat="1" ht="15.95" customHeight="1" x14ac:dyDescent="0.25"/>
    <row r="3012" s="1" customFormat="1" ht="15.95" customHeight="1" x14ac:dyDescent="0.25"/>
    <row r="3013" s="1" customFormat="1" ht="15.95" customHeight="1" x14ac:dyDescent="0.25"/>
    <row r="3014" s="1" customFormat="1" ht="15.95" customHeight="1" x14ac:dyDescent="0.25"/>
    <row r="3015" s="1" customFormat="1" ht="15.95" customHeight="1" x14ac:dyDescent="0.25"/>
    <row r="3016" s="1" customFormat="1" ht="15.95" customHeight="1" x14ac:dyDescent="0.25"/>
    <row r="3017" s="1" customFormat="1" ht="15.95" customHeight="1" x14ac:dyDescent="0.25"/>
    <row r="3018" s="1" customFormat="1" ht="15.95" customHeight="1" x14ac:dyDescent="0.25"/>
    <row r="3019" s="1" customFormat="1" ht="15.95" customHeight="1" x14ac:dyDescent="0.25"/>
    <row r="3020" s="1" customFormat="1" ht="15.95" customHeight="1" x14ac:dyDescent="0.25"/>
    <row r="3021" s="1" customFormat="1" ht="15.95" customHeight="1" x14ac:dyDescent="0.25"/>
    <row r="3022" s="1" customFormat="1" ht="15.95" customHeight="1" x14ac:dyDescent="0.25"/>
    <row r="3023" s="1" customFormat="1" ht="15.95" customHeight="1" x14ac:dyDescent="0.25"/>
    <row r="3024" s="1" customFormat="1" ht="15.95" customHeight="1" x14ac:dyDescent="0.25"/>
    <row r="3025" s="1" customFormat="1" ht="15.95" customHeight="1" x14ac:dyDescent="0.25"/>
    <row r="3026" s="1" customFormat="1" ht="15.95" customHeight="1" x14ac:dyDescent="0.25"/>
    <row r="3027" s="1" customFormat="1" ht="15.95" customHeight="1" x14ac:dyDescent="0.25"/>
    <row r="3028" s="1" customFormat="1" ht="15.95" customHeight="1" x14ac:dyDescent="0.25"/>
    <row r="3029" s="1" customFormat="1" ht="15.95" customHeight="1" x14ac:dyDescent="0.25"/>
    <row r="3030" s="1" customFormat="1" ht="15.95" customHeight="1" x14ac:dyDescent="0.25"/>
    <row r="3031" s="1" customFormat="1" ht="15.95" customHeight="1" x14ac:dyDescent="0.25"/>
    <row r="3032" s="1" customFormat="1" ht="15.95" customHeight="1" x14ac:dyDescent="0.25"/>
    <row r="3033" s="1" customFormat="1" ht="15.95" customHeight="1" x14ac:dyDescent="0.25"/>
    <row r="3034" s="1" customFormat="1" ht="15.95" customHeight="1" x14ac:dyDescent="0.25"/>
    <row r="3035" s="1" customFormat="1" ht="15.95" customHeight="1" x14ac:dyDescent="0.25"/>
    <row r="3036" s="1" customFormat="1" ht="15.95" customHeight="1" x14ac:dyDescent="0.25"/>
    <row r="3037" s="1" customFormat="1" ht="15.95" customHeight="1" x14ac:dyDescent="0.25"/>
    <row r="3038" s="1" customFormat="1" ht="15.95" customHeight="1" x14ac:dyDescent="0.25"/>
    <row r="3039" s="1" customFormat="1" ht="15.95" customHeight="1" x14ac:dyDescent="0.25"/>
    <row r="3040" s="1" customFormat="1" ht="15.95" customHeight="1" x14ac:dyDescent="0.25"/>
    <row r="3041" s="1" customFormat="1" ht="15.95" customHeight="1" x14ac:dyDescent="0.25"/>
    <row r="3042" s="1" customFormat="1" ht="15.95" customHeight="1" x14ac:dyDescent="0.25"/>
    <row r="3043" s="1" customFormat="1" ht="15.95" customHeight="1" x14ac:dyDescent="0.25"/>
    <row r="3044" s="1" customFormat="1" ht="15.95" customHeight="1" x14ac:dyDescent="0.25"/>
    <row r="3045" s="1" customFormat="1" ht="15.95" customHeight="1" x14ac:dyDescent="0.25"/>
    <row r="3046" s="1" customFormat="1" ht="15.95" customHeight="1" x14ac:dyDescent="0.25"/>
    <row r="3047" s="1" customFormat="1" ht="15.95" customHeight="1" x14ac:dyDescent="0.25"/>
    <row r="3048" s="1" customFormat="1" ht="15.95" customHeight="1" x14ac:dyDescent="0.25"/>
    <row r="3049" s="1" customFormat="1" ht="15.95" customHeight="1" x14ac:dyDescent="0.25"/>
    <row r="3050" s="1" customFormat="1" ht="15.95" customHeight="1" x14ac:dyDescent="0.25"/>
    <row r="3051" s="1" customFormat="1" ht="15.95" customHeight="1" x14ac:dyDescent="0.25"/>
    <row r="3052" s="1" customFormat="1" ht="15.95" customHeight="1" x14ac:dyDescent="0.25"/>
    <row r="3053" s="1" customFormat="1" ht="15.95" customHeight="1" x14ac:dyDescent="0.25"/>
    <row r="3054" s="1" customFormat="1" ht="15.95" customHeight="1" x14ac:dyDescent="0.25"/>
    <row r="3055" s="1" customFormat="1" ht="15.95" customHeight="1" x14ac:dyDescent="0.25"/>
    <row r="3056" s="1" customFormat="1" ht="15.95" customHeight="1" x14ac:dyDescent="0.25"/>
    <row r="3057" s="1" customFormat="1" ht="15.95" customHeight="1" x14ac:dyDescent="0.25"/>
    <row r="3058" s="1" customFormat="1" ht="15.95" customHeight="1" x14ac:dyDescent="0.25"/>
    <row r="3059" s="1" customFormat="1" ht="15.95" customHeight="1" x14ac:dyDescent="0.25"/>
    <row r="3060" s="1" customFormat="1" ht="15.95" customHeight="1" x14ac:dyDescent="0.25"/>
    <row r="3061" s="1" customFormat="1" ht="15.95" customHeight="1" x14ac:dyDescent="0.25"/>
    <row r="3062" s="1" customFormat="1" ht="15.95" customHeight="1" x14ac:dyDescent="0.25"/>
    <row r="3063" s="1" customFormat="1" ht="15.95" customHeight="1" x14ac:dyDescent="0.25"/>
    <row r="3064" s="1" customFormat="1" ht="15.95" customHeight="1" x14ac:dyDescent="0.25"/>
    <row r="3065" s="1" customFormat="1" ht="15.95" customHeight="1" x14ac:dyDescent="0.25"/>
    <row r="3066" s="1" customFormat="1" ht="15.95" customHeight="1" x14ac:dyDescent="0.25"/>
    <row r="3067" s="1" customFormat="1" ht="15.95" customHeight="1" x14ac:dyDescent="0.25"/>
    <row r="3068" s="1" customFormat="1" ht="15.95" customHeight="1" x14ac:dyDescent="0.25"/>
    <row r="3069" s="1" customFormat="1" ht="15.95" customHeight="1" x14ac:dyDescent="0.25"/>
    <row r="3070" s="1" customFormat="1" ht="15.95" customHeight="1" x14ac:dyDescent="0.25"/>
    <row r="3071" s="1" customFormat="1" ht="15.95" customHeight="1" x14ac:dyDescent="0.25"/>
    <row r="3072" s="1" customFormat="1" ht="15.95" customHeight="1" x14ac:dyDescent="0.25"/>
    <row r="3073" s="1" customFormat="1" ht="15.95" customHeight="1" x14ac:dyDescent="0.25"/>
    <row r="3074" s="1" customFormat="1" ht="15.95" customHeight="1" x14ac:dyDescent="0.25"/>
    <row r="3075" s="1" customFormat="1" ht="15.95" customHeight="1" x14ac:dyDescent="0.25"/>
    <row r="3076" s="1" customFormat="1" ht="15.95" customHeight="1" x14ac:dyDescent="0.25"/>
    <row r="3077" s="1" customFormat="1" ht="15.95" customHeight="1" x14ac:dyDescent="0.25"/>
    <row r="3078" s="1" customFormat="1" ht="15.95" customHeight="1" x14ac:dyDescent="0.25"/>
    <row r="3079" s="1" customFormat="1" ht="15.95" customHeight="1" x14ac:dyDescent="0.25"/>
    <row r="3080" s="1" customFormat="1" ht="15.95" customHeight="1" x14ac:dyDescent="0.25"/>
    <row r="3081" s="1" customFormat="1" ht="15.95" customHeight="1" x14ac:dyDescent="0.25"/>
    <row r="3082" s="1" customFormat="1" ht="15.95" customHeight="1" x14ac:dyDescent="0.25"/>
    <row r="3083" s="1" customFormat="1" ht="15.95" customHeight="1" x14ac:dyDescent="0.25"/>
    <row r="3084" s="1" customFormat="1" ht="15.95" customHeight="1" x14ac:dyDescent="0.25"/>
    <row r="3085" s="1" customFormat="1" ht="15.95" customHeight="1" x14ac:dyDescent="0.25"/>
    <row r="3086" s="1" customFormat="1" ht="15.95" customHeight="1" x14ac:dyDescent="0.25"/>
    <row r="3087" s="1" customFormat="1" ht="15.95" customHeight="1" x14ac:dyDescent="0.25"/>
    <row r="3088" s="1" customFormat="1" ht="15.95" customHeight="1" x14ac:dyDescent="0.25"/>
    <row r="3089" s="1" customFormat="1" ht="15.95" customHeight="1" x14ac:dyDescent="0.25"/>
    <row r="3090" s="1" customFormat="1" ht="15.95" customHeight="1" x14ac:dyDescent="0.25"/>
    <row r="3091" s="1" customFormat="1" ht="15.95" customHeight="1" x14ac:dyDescent="0.25"/>
    <row r="3092" s="1" customFormat="1" ht="15.95" customHeight="1" x14ac:dyDescent="0.25"/>
    <row r="3093" s="1" customFormat="1" ht="15.95" customHeight="1" x14ac:dyDescent="0.25"/>
    <row r="3094" s="1" customFormat="1" ht="15.95" customHeight="1" x14ac:dyDescent="0.25"/>
    <row r="3095" s="1" customFormat="1" ht="15.95" customHeight="1" x14ac:dyDescent="0.25"/>
    <row r="3096" s="1" customFormat="1" ht="15.95" customHeight="1" x14ac:dyDescent="0.25"/>
    <row r="3097" s="1" customFormat="1" ht="15.95" customHeight="1" x14ac:dyDescent="0.25"/>
    <row r="3098" s="1" customFormat="1" ht="15.95" customHeight="1" x14ac:dyDescent="0.25"/>
    <row r="3099" s="1" customFormat="1" ht="15.95" customHeight="1" x14ac:dyDescent="0.25"/>
    <row r="3100" s="1" customFormat="1" ht="15.95" customHeight="1" x14ac:dyDescent="0.25"/>
    <row r="3101" s="1" customFormat="1" ht="15.95" customHeight="1" x14ac:dyDescent="0.25"/>
    <row r="3102" s="1" customFormat="1" ht="15.95" customHeight="1" x14ac:dyDescent="0.25"/>
    <row r="3103" s="1" customFormat="1" ht="15.95" customHeight="1" x14ac:dyDescent="0.25"/>
    <row r="3104" s="1" customFormat="1" ht="15.95" customHeight="1" x14ac:dyDescent="0.25"/>
    <row r="3105" s="1" customFormat="1" ht="15.95" customHeight="1" x14ac:dyDescent="0.25"/>
    <row r="3106" s="1" customFormat="1" ht="15.95" customHeight="1" x14ac:dyDescent="0.25"/>
    <row r="3107" s="1" customFormat="1" ht="15.95" customHeight="1" x14ac:dyDescent="0.25"/>
    <row r="3108" s="1" customFormat="1" ht="15.95" customHeight="1" x14ac:dyDescent="0.25"/>
    <row r="3109" s="1" customFormat="1" ht="15.95" customHeight="1" x14ac:dyDescent="0.25"/>
    <row r="3110" s="1" customFormat="1" ht="15.95" customHeight="1" x14ac:dyDescent="0.25"/>
    <row r="3111" s="1" customFormat="1" ht="15.95" customHeight="1" x14ac:dyDescent="0.25"/>
    <row r="3112" s="1" customFormat="1" ht="15.95" customHeight="1" x14ac:dyDescent="0.25"/>
    <row r="3113" s="1" customFormat="1" ht="15.95" customHeight="1" x14ac:dyDescent="0.25"/>
    <row r="3114" s="1" customFormat="1" ht="15.95" customHeight="1" x14ac:dyDescent="0.25"/>
    <row r="3115" s="1" customFormat="1" ht="15.95" customHeight="1" x14ac:dyDescent="0.25"/>
    <row r="3116" s="1" customFormat="1" ht="15.95" customHeight="1" x14ac:dyDescent="0.25"/>
    <row r="3117" s="1" customFormat="1" ht="15.95" customHeight="1" x14ac:dyDescent="0.25"/>
    <row r="3118" s="1" customFormat="1" ht="15.95" customHeight="1" x14ac:dyDescent="0.25"/>
    <row r="3119" s="1" customFormat="1" ht="15.95" customHeight="1" x14ac:dyDescent="0.25"/>
    <row r="3120" s="1" customFormat="1" ht="15.95" customHeight="1" x14ac:dyDescent="0.25"/>
    <row r="3121" s="1" customFormat="1" ht="15.95" customHeight="1" x14ac:dyDescent="0.25"/>
    <row r="3122" s="1" customFormat="1" ht="15.95" customHeight="1" x14ac:dyDescent="0.25"/>
    <row r="3123" s="1" customFormat="1" ht="15.95" customHeight="1" x14ac:dyDescent="0.25"/>
    <row r="3124" s="1" customFormat="1" ht="15.95" customHeight="1" x14ac:dyDescent="0.25"/>
    <row r="3125" s="1" customFormat="1" ht="15.95" customHeight="1" x14ac:dyDescent="0.25"/>
    <row r="3126" s="1" customFormat="1" ht="15.95" customHeight="1" x14ac:dyDescent="0.25"/>
    <row r="3127" s="1" customFormat="1" ht="15.95" customHeight="1" x14ac:dyDescent="0.25"/>
    <row r="3128" s="1" customFormat="1" ht="15.95" customHeight="1" x14ac:dyDescent="0.25"/>
    <row r="3129" s="1" customFormat="1" ht="15.95" customHeight="1" x14ac:dyDescent="0.25"/>
    <row r="3130" s="1" customFormat="1" ht="15.95" customHeight="1" x14ac:dyDescent="0.25"/>
    <row r="3131" s="1" customFormat="1" ht="15.95" customHeight="1" x14ac:dyDescent="0.25"/>
    <row r="3132" s="1" customFormat="1" ht="15.95" customHeight="1" x14ac:dyDescent="0.25"/>
    <row r="3133" s="1" customFormat="1" ht="15.95" customHeight="1" x14ac:dyDescent="0.25"/>
    <row r="3134" s="1" customFormat="1" ht="15.95" customHeight="1" x14ac:dyDescent="0.25"/>
    <row r="3135" s="1" customFormat="1" ht="15.95" customHeight="1" x14ac:dyDescent="0.25"/>
    <row r="3136" s="1" customFormat="1" ht="15.95" customHeight="1" x14ac:dyDescent="0.25"/>
    <row r="3137" s="1" customFormat="1" ht="15.95" customHeight="1" x14ac:dyDescent="0.25"/>
    <row r="3138" s="1" customFormat="1" ht="15.95" customHeight="1" x14ac:dyDescent="0.25"/>
    <row r="3139" s="1" customFormat="1" ht="15.95" customHeight="1" x14ac:dyDescent="0.25"/>
    <row r="3140" s="1" customFormat="1" ht="15.95" customHeight="1" x14ac:dyDescent="0.25"/>
    <row r="3141" s="1" customFormat="1" ht="15.95" customHeight="1" x14ac:dyDescent="0.25"/>
    <row r="3142" s="1" customFormat="1" ht="15.95" customHeight="1" x14ac:dyDescent="0.25"/>
    <row r="3143" s="1" customFormat="1" ht="15.95" customHeight="1" x14ac:dyDescent="0.25"/>
    <row r="3144" s="1" customFormat="1" ht="15.95" customHeight="1" x14ac:dyDescent="0.25"/>
    <row r="3145" s="1" customFormat="1" ht="15.95" customHeight="1" x14ac:dyDescent="0.25"/>
    <row r="3146" s="1" customFormat="1" ht="15.95" customHeight="1" x14ac:dyDescent="0.25"/>
    <row r="3147" s="1" customFormat="1" ht="15.95" customHeight="1" x14ac:dyDescent="0.25"/>
    <row r="3148" s="1" customFormat="1" ht="15.95" customHeight="1" x14ac:dyDescent="0.25"/>
    <row r="3149" s="1" customFormat="1" ht="15.95" customHeight="1" x14ac:dyDescent="0.25"/>
    <row r="3150" s="1" customFormat="1" ht="15.95" customHeight="1" x14ac:dyDescent="0.25"/>
    <row r="3151" s="1" customFormat="1" ht="15.95" customHeight="1" x14ac:dyDescent="0.25"/>
    <row r="3152" s="1" customFormat="1" ht="15.95" customHeight="1" x14ac:dyDescent="0.25"/>
    <row r="3153" s="1" customFormat="1" ht="15.95" customHeight="1" x14ac:dyDescent="0.25"/>
    <row r="3154" s="1" customFormat="1" ht="15.95" customHeight="1" x14ac:dyDescent="0.25"/>
    <row r="3155" s="1" customFormat="1" ht="15.95" customHeight="1" x14ac:dyDescent="0.25"/>
    <row r="3156" s="1" customFormat="1" ht="15.95" customHeight="1" x14ac:dyDescent="0.25"/>
    <row r="3157" s="1" customFormat="1" ht="15.95" customHeight="1" x14ac:dyDescent="0.25"/>
    <row r="3158" s="1" customFormat="1" ht="15.95" customHeight="1" x14ac:dyDescent="0.25"/>
    <row r="3159" s="1" customFormat="1" ht="15.95" customHeight="1" x14ac:dyDescent="0.25"/>
    <row r="3160" s="1" customFormat="1" ht="15.95" customHeight="1" x14ac:dyDescent="0.25"/>
    <row r="3161" s="1" customFormat="1" ht="15.95" customHeight="1" x14ac:dyDescent="0.25"/>
    <row r="3162" s="1" customFormat="1" ht="15.95" customHeight="1" x14ac:dyDescent="0.25"/>
    <row r="3163" s="1" customFormat="1" ht="15.95" customHeight="1" x14ac:dyDescent="0.25"/>
    <row r="3164" s="1" customFormat="1" ht="15.95" customHeight="1" x14ac:dyDescent="0.25"/>
    <row r="3165" s="1" customFormat="1" ht="15.95" customHeight="1" x14ac:dyDescent="0.25"/>
    <row r="3166" s="1" customFormat="1" ht="15.95" customHeight="1" x14ac:dyDescent="0.25"/>
    <row r="3167" s="1" customFormat="1" ht="15.95" customHeight="1" x14ac:dyDescent="0.25"/>
    <row r="3168" s="1" customFormat="1" ht="15.95" customHeight="1" x14ac:dyDescent="0.25"/>
    <row r="3169" s="1" customFormat="1" ht="15.95" customHeight="1" x14ac:dyDescent="0.25"/>
    <row r="3170" s="1" customFormat="1" ht="15.95" customHeight="1" x14ac:dyDescent="0.25"/>
    <row r="3171" s="1" customFormat="1" ht="15.95" customHeight="1" x14ac:dyDescent="0.25"/>
    <row r="3172" s="1" customFormat="1" ht="15.95" customHeight="1" x14ac:dyDescent="0.25"/>
    <row r="3173" s="1" customFormat="1" ht="15.95" customHeight="1" x14ac:dyDescent="0.25"/>
    <row r="3174" s="1" customFormat="1" ht="15.95" customHeight="1" x14ac:dyDescent="0.25"/>
    <row r="3175" s="1" customFormat="1" ht="15.95" customHeight="1" x14ac:dyDescent="0.25"/>
    <row r="3176" s="1" customFormat="1" ht="15.95" customHeight="1" x14ac:dyDescent="0.25"/>
    <row r="3177" s="1" customFormat="1" ht="15.95" customHeight="1" x14ac:dyDescent="0.25"/>
    <row r="3178" s="1" customFormat="1" ht="15.95" customHeight="1" x14ac:dyDescent="0.25"/>
    <row r="3179" s="1" customFormat="1" ht="15.95" customHeight="1" x14ac:dyDescent="0.25"/>
    <row r="3180" s="1" customFormat="1" ht="15.95" customHeight="1" x14ac:dyDescent="0.25"/>
    <row r="3181" s="1" customFormat="1" ht="15.95" customHeight="1" x14ac:dyDescent="0.25"/>
    <row r="3182" s="1" customFormat="1" ht="15.95" customHeight="1" x14ac:dyDescent="0.25"/>
    <row r="3183" s="1" customFormat="1" ht="15.95" customHeight="1" x14ac:dyDescent="0.25"/>
    <row r="3184" s="1" customFormat="1" ht="15.95" customHeight="1" x14ac:dyDescent="0.25"/>
    <row r="3185" s="1" customFormat="1" ht="15.95" customHeight="1" x14ac:dyDescent="0.25"/>
    <row r="3186" s="1" customFormat="1" ht="15.95" customHeight="1" x14ac:dyDescent="0.25"/>
    <row r="3187" s="1" customFormat="1" ht="15.95" customHeight="1" x14ac:dyDescent="0.25"/>
    <row r="3188" s="1" customFormat="1" ht="15.95" customHeight="1" x14ac:dyDescent="0.25"/>
    <row r="3189" s="1" customFormat="1" ht="15.95" customHeight="1" x14ac:dyDescent="0.25"/>
    <row r="3190" s="1" customFormat="1" ht="15.95" customHeight="1" x14ac:dyDescent="0.25"/>
    <row r="3191" s="1" customFormat="1" ht="15.95" customHeight="1" x14ac:dyDescent="0.25"/>
    <row r="3192" s="1" customFormat="1" ht="15.95" customHeight="1" x14ac:dyDescent="0.25"/>
    <row r="3193" s="1" customFormat="1" ht="15.95" customHeight="1" x14ac:dyDescent="0.25"/>
    <row r="3194" s="1" customFormat="1" ht="15.95" customHeight="1" x14ac:dyDescent="0.25"/>
    <row r="3195" s="1" customFormat="1" ht="15.95" customHeight="1" x14ac:dyDescent="0.25"/>
    <row r="3196" s="1" customFormat="1" ht="15.95" customHeight="1" x14ac:dyDescent="0.25"/>
    <row r="3197" s="1" customFormat="1" ht="15.95" customHeight="1" x14ac:dyDescent="0.25"/>
    <row r="3198" s="1" customFormat="1" ht="15.95" customHeight="1" x14ac:dyDescent="0.25"/>
    <row r="3199" s="1" customFormat="1" ht="15.95" customHeight="1" x14ac:dyDescent="0.25"/>
    <row r="3200" s="1" customFormat="1" ht="15.95" customHeight="1" x14ac:dyDescent="0.25"/>
    <row r="3201" s="1" customFormat="1" ht="15.95" customHeight="1" x14ac:dyDescent="0.25"/>
    <row r="3202" s="1" customFormat="1" ht="15.95" customHeight="1" x14ac:dyDescent="0.25"/>
    <row r="3203" s="1" customFormat="1" ht="15.95" customHeight="1" x14ac:dyDescent="0.25"/>
    <row r="3204" s="1" customFormat="1" ht="15.95" customHeight="1" x14ac:dyDescent="0.25"/>
    <row r="3205" s="1" customFormat="1" ht="15.95" customHeight="1" x14ac:dyDescent="0.25"/>
    <row r="3206" s="1" customFormat="1" ht="15.95" customHeight="1" x14ac:dyDescent="0.25"/>
    <row r="3207" s="1" customFormat="1" ht="15.95" customHeight="1" x14ac:dyDescent="0.25"/>
    <row r="3208" s="1" customFormat="1" ht="15.95" customHeight="1" x14ac:dyDescent="0.25"/>
    <row r="3209" s="1" customFormat="1" ht="15.95" customHeight="1" x14ac:dyDescent="0.25"/>
    <row r="3210" s="1" customFormat="1" ht="15.95" customHeight="1" x14ac:dyDescent="0.25"/>
    <row r="3211" s="1" customFormat="1" ht="15.95" customHeight="1" x14ac:dyDescent="0.25"/>
    <row r="3212" s="1" customFormat="1" ht="15.95" customHeight="1" x14ac:dyDescent="0.25"/>
    <row r="3213" s="1" customFormat="1" ht="15.95" customHeight="1" x14ac:dyDescent="0.25"/>
    <row r="3214" s="1" customFormat="1" ht="15.95" customHeight="1" x14ac:dyDescent="0.25"/>
    <row r="3215" s="1" customFormat="1" ht="15.95" customHeight="1" x14ac:dyDescent="0.25"/>
    <row r="3216" s="1" customFormat="1" ht="15.95" customHeight="1" x14ac:dyDescent="0.25"/>
    <row r="3217" s="1" customFormat="1" ht="15.95" customHeight="1" x14ac:dyDescent="0.25"/>
    <row r="3218" s="1" customFormat="1" ht="15.95" customHeight="1" x14ac:dyDescent="0.25"/>
    <row r="3219" s="1" customFormat="1" ht="15.95" customHeight="1" x14ac:dyDescent="0.25"/>
    <row r="3220" s="1" customFormat="1" ht="15.95" customHeight="1" x14ac:dyDescent="0.25"/>
    <row r="3221" s="1" customFormat="1" ht="15.95" customHeight="1" x14ac:dyDescent="0.25"/>
    <row r="3222" s="1" customFormat="1" ht="15.95" customHeight="1" x14ac:dyDescent="0.25"/>
    <row r="3223" s="1" customFormat="1" ht="15.95" customHeight="1" x14ac:dyDescent="0.25"/>
    <row r="3224" s="1" customFormat="1" ht="15.95" customHeight="1" x14ac:dyDescent="0.25"/>
    <row r="3225" s="1" customFormat="1" ht="15.95" customHeight="1" x14ac:dyDescent="0.25"/>
    <row r="3226" s="1" customFormat="1" ht="15.95" customHeight="1" x14ac:dyDescent="0.25"/>
    <row r="3227" s="1" customFormat="1" ht="15.95" customHeight="1" x14ac:dyDescent="0.25"/>
    <row r="3228" s="1" customFormat="1" ht="15.95" customHeight="1" x14ac:dyDescent="0.25"/>
    <row r="3229" s="1" customFormat="1" ht="15.95" customHeight="1" x14ac:dyDescent="0.25"/>
    <row r="3230" s="1" customFormat="1" ht="15.95" customHeight="1" x14ac:dyDescent="0.25"/>
    <row r="3231" s="1" customFormat="1" ht="15.95" customHeight="1" x14ac:dyDescent="0.25"/>
    <row r="3232" s="1" customFormat="1" ht="15.95" customHeight="1" x14ac:dyDescent="0.25"/>
    <row r="3233" s="1" customFormat="1" ht="15.95" customHeight="1" x14ac:dyDescent="0.25"/>
    <row r="3234" s="1" customFormat="1" ht="15.95" customHeight="1" x14ac:dyDescent="0.25"/>
    <row r="3235" s="1" customFormat="1" ht="15.95" customHeight="1" x14ac:dyDescent="0.25"/>
    <row r="3236" s="1" customFormat="1" ht="15.95" customHeight="1" x14ac:dyDescent="0.25"/>
    <row r="3237" s="1" customFormat="1" ht="15.95" customHeight="1" x14ac:dyDescent="0.25"/>
    <row r="3238" s="1" customFormat="1" ht="15.95" customHeight="1" x14ac:dyDescent="0.25"/>
    <row r="3239" s="1" customFormat="1" ht="15.95" customHeight="1" x14ac:dyDescent="0.25"/>
    <row r="3240" s="1" customFormat="1" ht="15.95" customHeight="1" x14ac:dyDescent="0.25"/>
    <row r="3241" s="1" customFormat="1" ht="15.95" customHeight="1" x14ac:dyDescent="0.25"/>
    <row r="3242" s="1" customFormat="1" ht="15.95" customHeight="1" x14ac:dyDescent="0.25"/>
    <row r="3243" s="1" customFormat="1" ht="15.95" customHeight="1" x14ac:dyDescent="0.25"/>
    <row r="3244" s="1" customFormat="1" ht="15.95" customHeight="1" x14ac:dyDescent="0.25"/>
    <row r="3245" s="1" customFormat="1" ht="15.95" customHeight="1" x14ac:dyDescent="0.25"/>
    <row r="3246" s="1" customFormat="1" ht="15.95" customHeight="1" x14ac:dyDescent="0.25"/>
    <row r="3247" s="1" customFormat="1" ht="15.95" customHeight="1" x14ac:dyDescent="0.25"/>
    <row r="3248" s="1" customFormat="1" ht="15.95" customHeight="1" x14ac:dyDescent="0.25"/>
    <row r="3249" s="1" customFormat="1" ht="15.95" customHeight="1" x14ac:dyDescent="0.25"/>
    <row r="3250" s="1" customFormat="1" ht="15.95" customHeight="1" x14ac:dyDescent="0.25"/>
    <row r="3251" s="1" customFormat="1" ht="15.95" customHeight="1" x14ac:dyDescent="0.25"/>
    <row r="3252" s="1" customFormat="1" ht="15.95" customHeight="1" x14ac:dyDescent="0.25"/>
    <row r="3253" s="1" customFormat="1" ht="15.95" customHeight="1" x14ac:dyDescent="0.25"/>
    <row r="3254" s="1" customFormat="1" ht="15.95" customHeight="1" x14ac:dyDescent="0.25"/>
    <row r="3255" s="1" customFormat="1" ht="15.95" customHeight="1" x14ac:dyDescent="0.25"/>
    <row r="3256" s="1" customFormat="1" ht="15.95" customHeight="1" x14ac:dyDescent="0.25"/>
    <row r="3257" s="1" customFormat="1" ht="15.95" customHeight="1" x14ac:dyDescent="0.25"/>
    <row r="3258" s="1" customFormat="1" ht="15.95" customHeight="1" x14ac:dyDescent="0.25"/>
    <row r="3259" s="1" customFormat="1" ht="15.95" customHeight="1" x14ac:dyDescent="0.25"/>
    <row r="3260" s="1" customFormat="1" ht="15.95" customHeight="1" x14ac:dyDescent="0.25"/>
    <row r="3261" s="1" customFormat="1" ht="15.95" customHeight="1" x14ac:dyDescent="0.25"/>
    <row r="3262" s="1" customFormat="1" ht="15.95" customHeight="1" x14ac:dyDescent="0.25"/>
    <row r="3263" s="1" customFormat="1" ht="15.95" customHeight="1" x14ac:dyDescent="0.25"/>
    <row r="3264" s="1" customFormat="1" ht="15.95" customHeight="1" x14ac:dyDescent="0.25"/>
    <row r="3265" s="1" customFormat="1" ht="15.95" customHeight="1" x14ac:dyDescent="0.25"/>
    <row r="3266" s="1" customFormat="1" ht="15.95" customHeight="1" x14ac:dyDescent="0.25"/>
    <row r="3267" s="1" customFormat="1" ht="15.95" customHeight="1" x14ac:dyDescent="0.25"/>
    <row r="3268" s="1" customFormat="1" ht="15.95" customHeight="1" x14ac:dyDescent="0.25"/>
    <row r="3269" s="1" customFormat="1" ht="15.95" customHeight="1" x14ac:dyDescent="0.25"/>
    <row r="3270" s="1" customFormat="1" ht="15.95" customHeight="1" x14ac:dyDescent="0.25"/>
    <row r="3271" s="1" customFormat="1" ht="15.95" customHeight="1" x14ac:dyDescent="0.25"/>
    <row r="3272" s="1" customFormat="1" ht="15.95" customHeight="1" x14ac:dyDescent="0.25"/>
    <row r="3273" s="1" customFormat="1" ht="15.95" customHeight="1" x14ac:dyDescent="0.25"/>
    <row r="3274" s="1" customFormat="1" ht="15.95" customHeight="1" x14ac:dyDescent="0.25"/>
    <row r="3275" s="1" customFormat="1" ht="15.95" customHeight="1" x14ac:dyDescent="0.25"/>
    <row r="3276" s="1" customFormat="1" ht="15.95" customHeight="1" x14ac:dyDescent="0.25"/>
    <row r="3277" s="1" customFormat="1" ht="15.95" customHeight="1" x14ac:dyDescent="0.25"/>
    <row r="3278" s="1" customFormat="1" ht="15.95" customHeight="1" x14ac:dyDescent="0.25"/>
    <row r="3279" s="1" customFormat="1" ht="15.95" customHeight="1" x14ac:dyDescent="0.25"/>
    <row r="3280" s="1" customFormat="1" ht="15.95" customHeight="1" x14ac:dyDescent="0.25"/>
    <row r="3281" s="1" customFormat="1" ht="15.95" customHeight="1" x14ac:dyDescent="0.25"/>
    <row r="3282" s="1" customFormat="1" ht="15.95" customHeight="1" x14ac:dyDescent="0.25"/>
    <row r="3283" s="1" customFormat="1" ht="15.95" customHeight="1" x14ac:dyDescent="0.25"/>
    <row r="3284" s="1" customFormat="1" ht="15.95" customHeight="1" x14ac:dyDescent="0.25"/>
    <row r="3285" s="1" customFormat="1" ht="15.95" customHeight="1" x14ac:dyDescent="0.25"/>
    <row r="3286" s="1" customFormat="1" ht="15.95" customHeight="1" x14ac:dyDescent="0.25"/>
    <row r="3287" s="1" customFormat="1" ht="15.95" customHeight="1" x14ac:dyDescent="0.25"/>
    <row r="3288" s="1" customFormat="1" ht="15.95" customHeight="1" x14ac:dyDescent="0.25"/>
    <row r="3289" s="1" customFormat="1" ht="15.95" customHeight="1" x14ac:dyDescent="0.25"/>
    <row r="3290" s="1" customFormat="1" ht="15.95" customHeight="1" x14ac:dyDescent="0.25"/>
    <row r="3291" s="1" customFormat="1" ht="15.95" customHeight="1" x14ac:dyDescent="0.25"/>
    <row r="3292" s="1" customFormat="1" ht="15.95" customHeight="1" x14ac:dyDescent="0.25"/>
    <row r="3293" s="1" customFormat="1" ht="15.95" customHeight="1" x14ac:dyDescent="0.25"/>
    <row r="3294" s="1" customFormat="1" ht="15.95" customHeight="1" x14ac:dyDescent="0.25"/>
    <row r="3295" s="1" customFormat="1" ht="15.95" customHeight="1" x14ac:dyDescent="0.25"/>
    <row r="3296" s="1" customFormat="1" ht="15.95" customHeight="1" x14ac:dyDescent="0.25"/>
    <row r="3297" s="1" customFormat="1" ht="15.95" customHeight="1" x14ac:dyDescent="0.25"/>
    <row r="3298" s="1" customFormat="1" ht="15.95" customHeight="1" x14ac:dyDescent="0.25"/>
    <row r="3299" s="1" customFormat="1" ht="15.95" customHeight="1" x14ac:dyDescent="0.25"/>
    <row r="3300" s="1" customFormat="1" ht="15.95" customHeight="1" x14ac:dyDescent="0.25"/>
    <row r="3301" s="1" customFormat="1" ht="15.95" customHeight="1" x14ac:dyDescent="0.25"/>
    <row r="3302" s="1" customFormat="1" ht="15.95" customHeight="1" x14ac:dyDescent="0.25"/>
    <row r="3303" s="1" customFormat="1" ht="15.95" customHeight="1" x14ac:dyDescent="0.25"/>
    <row r="3304" s="1" customFormat="1" ht="15.95" customHeight="1" x14ac:dyDescent="0.25"/>
    <row r="3305" s="1" customFormat="1" ht="15.95" customHeight="1" x14ac:dyDescent="0.25"/>
    <row r="3306" s="1" customFormat="1" ht="15.95" customHeight="1" x14ac:dyDescent="0.25"/>
    <row r="3307" s="1" customFormat="1" ht="15.95" customHeight="1" x14ac:dyDescent="0.25"/>
    <row r="3308" s="1" customFormat="1" ht="15.95" customHeight="1" x14ac:dyDescent="0.25"/>
    <row r="3309" s="1" customFormat="1" ht="15.95" customHeight="1" x14ac:dyDescent="0.25"/>
    <row r="3310" s="1" customFormat="1" ht="15.95" customHeight="1" x14ac:dyDescent="0.25"/>
    <row r="3311" s="1" customFormat="1" ht="15.95" customHeight="1" x14ac:dyDescent="0.25"/>
    <row r="3312" s="1" customFormat="1" ht="15.95" customHeight="1" x14ac:dyDescent="0.25"/>
    <row r="3313" s="1" customFormat="1" ht="15.95" customHeight="1" x14ac:dyDescent="0.25"/>
    <row r="3314" s="1" customFormat="1" ht="15.95" customHeight="1" x14ac:dyDescent="0.25"/>
    <row r="3315" s="1" customFormat="1" ht="15.95" customHeight="1" x14ac:dyDescent="0.25"/>
    <row r="3316" s="1" customFormat="1" ht="15.95" customHeight="1" x14ac:dyDescent="0.25"/>
    <row r="3317" s="1" customFormat="1" ht="15.95" customHeight="1" x14ac:dyDescent="0.25"/>
    <row r="3318" s="1" customFormat="1" ht="15.95" customHeight="1" x14ac:dyDescent="0.25"/>
    <row r="3319" s="1" customFormat="1" ht="15.95" customHeight="1" x14ac:dyDescent="0.25"/>
    <row r="3320" s="1" customFormat="1" ht="15.95" customHeight="1" x14ac:dyDescent="0.25"/>
    <row r="3321" s="1" customFormat="1" ht="15.95" customHeight="1" x14ac:dyDescent="0.25"/>
    <row r="3322" s="1" customFormat="1" ht="15.95" customHeight="1" x14ac:dyDescent="0.25"/>
    <row r="3323" s="1" customFormat="1" ht="15.95" customHeight="1" x14ac:dyDescent="0.25"/>
    <row r="3324" s="1" customFormat="1" ht="15.95" customHeight="1" x14ac:dyDescent="0.25"/>
    <row r="3325" s="1" customFormat="1" ht="15.95" customHeight="1" x14ac:dyDescent="0.25"/>
    <row r="3326" s="1" customFormat="1" ht="15.95" customHeight="1" x14ac:dyDescent="0.25"/>
    <row r="3327" s="1" customFormat="1" ht="15.95" customHeight="1" x14ac:dyDescent="0.25"/>
    <row r="3328" s="1" customFormat="1" ht="15.95" customHeight="1" x14ac:dyDescent="0.25"/>
    <row r="3329" s="1" customFormat="1" ht="15.95" customHeight="1" x14ac:dyDescent="0.25"/>
    <row r="3330" s="1" customFormat="1" ht="15.95" customHeight="1" x14ac:dyDescent="0.25"/>
    <row r="3331" s="1" customFormat="1" ht="15.95" customHeight="1" x14ac:dyDescent="0.25"/>
    <row r="3332" s="1" customFormat="1" ht="15.95" customHeight="1" x14ac:dyDescent="0.25"/>
    <row r="3333" s="1" customFormat="1" ht="15.95" customHeight="1" x14ac:dyDescent="0.25"/>
    <row r="3334" s="1" customFormat="1" ht="15.95" customHeight="1" x14ac:dyDescent="0.25"/>
    <row r="3335" s="1" customFormat="1" ht="15.95" customHeight="1" x14ac:dyDescent="0.25"/>
    <row r="3336" s="1" customFormat="1" ht="15.95" customHeight="1" x14ac:dyDescent="0.25"/>
    <row r="3337" s="1" customFormat="1" ht="15.95" customHeight="1" x14ac:dyDescent="0.25"/>
    <row r="3338" s="1" customFormat="1" ht="15.95" customHeight="1" x14ac:dyDescent="0.25"/>
    <row r="3339" s="1" customFormat="1" ht="15.95" customHeight="1" x14ac:dyDescent="0.25"/>
    <row r="3340" s="1" customFormat="1" ht="15.95" customHeight="1" x14ac:dyDescent="0.25"/>
    <row r="3341" s="1" customFormat="1" ht="15.95" customHeight="1" x14ac:dyDescent="0.25"/>
    <row r="3342" s="1" customFormat="1" ht="15.95" customHeight="1" x14ac:dyDescent="0.25"/>
    <row r="3343" s="1" customFormat="1" ht="15.95" customHeight="1" x14ac:dyDescent="0.25"/>
    <row r="3344" s="1" customFormat="1" ht="15.95" customHeight="1" x14ac:dyDescent="0.25"/>
    <row r="3345" s="1" customFormat="1" ht="15.95" customHeight="1" x14ac:dyDescent="0.25"/>
    <row r="3346" s="1" customFormat="1" ht="15.95" customHeight="1" x14ac:dyDescent="0.25"/>
    <row r="3347" s="1" customFormat="1" ht="15.95" customHeight="1" x14ac:dyDescent="0.25"/>
    <row r="3348" s="1" customFormat="1" ht="15.95" customHeight="1" x14ac:dyDescent="0.25"/>
    <row r="3349" s="1" customFormat="1" ht="15.95" customHeight="1" x14ac:dyDescent="0.25"/>
    <row r="3350" s="1" customFormat="1" ht="15.95" customHeight="1" x14ac:dyDescent="0.25"/>
    <row r="3351" s="1" customFormat="1" ht="15.95" customHeight="1" x14ac:dyDescent="0.25"/>
    <row r="3352" s="1" customFormat="1" ht="15.95" customHeight="1" x14ac:dyDescent="0.25"/>
    <row r="3353" s="1" customFormat="1" ht="15.95" customHeight="1" x14ac:dyDescent="0.25"/>
    <row r="3354" s="1" customFormat="1" ht="15.95" customHeight="1" x14ac:dyDescent="0.25"/>
    <row r="3355" s="1" customFormat="1" ht="15.95" customHeight="1" x14ac:dyDescent="0.25"/>
    <row r="3356" s="1" customFormat="1" ht="15.95" customHeight="1" x14ac:dyDescent="0.25"/>
    <row r="3357" s="1" customFormat="1" ht="15.95" customHeight="1" x14ac:dyDescent="0.25"/>
    <row r="3358" s="1" customFormat="1" ht="15.95" customHeight="1" x14ac:dyDescent="0.25"/>
    <row r="3359" s="1" customFormat="1" ht="15.95" customHeight="1" x14ac:dyDescent="0.25"/>
    <row r="3360" s="1" customFormat="1" ht="15.95" customHeight="1" x14ac:dyDescent="0.25"/>
    <row r="3361" s="1" customFormat="1" ht="15.95" customHeight="1" x14ac:dyDescent="0.25"/>
    <row r="3362" s="1" customFormat="1" ht="15.95" customHeight="1" x14ac:dyDescent="0.25"/>
    <row r="3363" s="1" customFormat="1" ht="15.95" customHeight="1" x14ac:dyDescent="0.25"/>
    <row r="3364" s="1" customFormat="1" ht="15.95" customHeight="1" x14ac:dyDescent="0.25"/>
    <row r="3365" s="1" customFormat="1" ht="15.95" customHeight="1" x14ac:dyDescent="0.25"/>
    <row r="3366" s="1" customFormat="1" ht="15.95" customHeight="1" x14ac:dyDescent="0.25"/>
    <row r="3367" s="1" customFormat="1" ht="15.95" customHeight="1" x14ac:dyDescent="0.25"/>
    <row r="3368" s="1" customFormat="1" ht="15.95" customHeight="1" x14ac:dyDescent="0.25"/>
    <row r="3369" s="1" customFormat="1" ht="15.95" customHeight="1" x14ac:dyDescent="0.25"/>
    <row r="3370" s="1" customFormat="1" ht="15.95" customHeight="1" x14ac:dyDescent="0.25"/>
    <row r="3371" s="1" customFormat="1" ht="15.95" customHeight="1" x14ac:dyDescent="0.25"/>
    <row r="3372" s="1" customFormat="1" ht="15.95" customHeight="1" x14ac:dyDescent="0.25"/>
    <row r="3373" s="1" customFormat="1" ht="15.95" customHeight="1" x14ac:dyDescent="0.25"/>
    <row r="3374" s="1" customFormat="1" ht="15.95" customHeight="1" x14ac:dyDescent="0.25"/>
    <row r="3375" s="1" customFormat="1" ht="15.95" customHeight="1" x14ac:dyDescent="0.25"/>
    <row r="3376" s="1" customFormat="1" ht="15.95" customHeight="1" x14ac:dyDescent="0.25"/>
    <row r="3377" s="1" customFormat="1" ht="15.95" customHeight="1" x14ac:dyDescent="0.25"/>
    <row r="3378" s="1" customFormat="1" ht="15.95" customHeight="1" x14ac:dyDescent="0.25"/>
    <row r="3379" s="1" customFormat="1" ht="15.95" customHeight="1" x14ac:dyDescent="0.25"/>
    <row r="3380" s="1" customFormat="1" ht="15.95" customHeight="1" x14ac:dyDescent="0.25"/>
    <row r="3381" s="1" customFormat="1" ht="15.95" customHeight="1" x14ac:dyDescent="0.25"/>
    <row r="3382" s="1" customFormat="1" ht="15.95" customHeight="1" x14ac:dyDescent="0.25"/>
    <row r="3383" s="1" customFormat="1" ht="15.95" customHeight="1" x14ac:dyDescent="0.25"/>
    <row r="3384" s="1" customFormat="1" ht="15.95" customHeight="1" x14ac:dyDescent="0.25"/>
    <row r="3385" s="1" customFormat="1" ht="15.95" customHeight="1" x14ac:dyDescent="0.25"/>
    <row r="3386" s="1" customFormat="1" ht="15.95" customHeight="1" x14ac:dyDescent="0.25"/>
    <row r="3387" s="1" customFormat="1" ht="15.95" customHeight="1" x14ac:dyDescent="0.25"/>
    <row r="3388" s="1" customFormat="1" ht="15.95" customHeight="1" x14ac:dyDescent="0.25"/>
    <row r="3389" s="1" customFormat="1" ht="15.95" customHeight="1" x14ac:dyDescent="0.25"/>
    <row r="3390" s="1" customFormat="1" ht="15.95" customHeight="1" x14ac:dyDescent="0.25"/>
    <row r="3391" s="1" customFormat="1" ht="15.95" customHeight="1" x14ac:dyDescent="0.25"/>
    <row r="3392" s="1" customFormat="1" ht="15.95" customHeight="1" x14ac:dyDescent="0.25"/>
    <row r="3393" s="1" customFormat="1" ht="15.95" customHeight="1" x14ac:dyDescent="0.25"/>
    <row r="3394" s="1" customFormat="1" ht="15.95" customHeight="1" x14ac:dyDescent="0.25"/>
    <row r="3395" s="1" customFormat="1" ht="15.95" customHeight="1" x14ac:dyDescent="0.25"/>
    <row r="3396" s="1" customFormat="1" ht="15.95" customHeight="1" x14ac:dyDescent="0.25"/>
    <row r="3397" s="1" customFormat="1" ht="15.95" customHeight="1" x14ac:dyDescent="0.25"/>
    <row r="3398" s="1" customFormat="1" ht="15.95" customHeight="1" x14ac:dyDescent="0.25"/>
    <row r="3399" s="1" customFormat="1" ht="15.95" customHeight="1" x14ac:dyDescent="0.25"/>
    <row r="3400" s="1" customFormat="1" ht="15.95" customHeight="1" x14ac:dyDescent="0.25"/>
    <row r="3401" s="1" customFormat="1" ht="15.95" customHeight="1" x14ac:dyDescent="0.25"/>
    <row r="3402" s="1" customFormat="1" ht="15.95" customHeight="1" x14ac:dyDescent="0.25"/>
    <row r="3403" s="1" customFormat="1" ht="15.95" customHeight="1" x14ac:dyDescent="0.25"/>
    <row r="3404" s="1" customFormat="1" ht="15.95" customHeight="1" x14ac:dyDescent="0.25"/>
    <row r="3405" s="1" customFormat="1" ht="15.95" customHeight="1" x14ac:dyDescent="0.25"/>
    <row r="3406" s="1" customFormat="1" ht="15.95" customHeight="1" x14ac:dyDescent="0.25"/>
    <row r="3407" s="1" customFormat="1" ht="15.95" customHeight="1" x14ac:dyDescent="0.25"/>
    <row r="3408" s="1" customFormat="1" ht="15.95" customHeight="1" x14ac:dyDescent="0.25"/>
    <row r="3409" s="1" customFormat="1" ht="15.95" customHeight="1" x14ac:dyDescent="0.25"/>
    <row r="3410" s="1" customFormat="1" ht="15.95" customHeight="1" x14ac:dyDescent="0.25"/>
    <row r="3411" s="1" customFormat="1" ht="15.95" customHeight="1" x14ac:dyDescent="0.25"/>
    <row r="3412" s="1" customFormat="1" ht="15.95" customHeight="1" x14ac:dyDescent="0.25"/>
    <row r="3413" s="1" customFormat="1" ht="15.95" customHeight="1" x14ac:dyDescent="0.25"/>
    <row r="3414" s="1" customFormat="1" ht="15.95" customHeight="1" x14ac:dyDescent="0.25"/>
    <row r="3415" s="1" customFormat="1" ht="15.95" customHeight="1" x14ac:dyDescent="0.25"/>
    <row r="3416" s="1" customFormat="1" ht="15.95" customHeight="1" x14ac:dyDescent="0.25"/>
    <row r="3417" s="1" customFormat="1" ht="15.95" customHeight="1" x14ac:dyDescent="0.25"/>
    <row r="3418" s="1" customFormat="1" ht="15.95" customHeight="1" x14ac:dyDescent="0.25"/>
    <row r="3419" s="1" customFormat="1" ht="15.95" customHeight="1" x14ac:dyDescent="0.25"/>
    <row r="3420" s="1" customFormat="1" ht="15.95" customHeight="1" x14ac:dyDescent="0.25"/>
    <row r="3421" s="1" customFormat="1" ht="15.95" customHeight="1" x14ac:dyDescent="0.25"/>
    <row r="3422" s="1" customFormat="1" ht="15.95" customHeight="1" x14ac:dyDescent="0.25"/>
    <row r="3423" s="1" customFormat="1" ht="15.95" customHeight="1" x14ac:dyDescent="0.25"/>
    <row r="3424" s="1" customFormat="1" ht="15.95" customHeight="1" x14ac:dyDescent="0.25"/>
    <row r="3425" s="1" customFormat="1" ht="15.95" customHeight="1" x14ac:dyDescent="0.25"/>
    <row r="3426" s="1" customFormat="1" ht="15.95" customHeight="1" x14ac:dyDescent="0.25"/>
    <row r="3427" s="1" customFormat="1" ht="15.95" customHeight="1" x14ac:dyDescent="0.25"/>
    <row r="3428" s="1" customFormat="1" ht="15.95" customHeight="1" x14ac:dyDescent="0.25"/>
    <row r="3429" s="1" customFormat="1" ht="15.95" customHeight="1" x14ac:dyDescent="0.25"/>
    <row r="3430" s="1" customFormat="1" ht="15.95" customHeight="1" x14ac:dyDescent="0.25"/>
    <row r="3431" s="1" customFormat="1" ht="15.95" customHeight="1" x14ac:dyDescent="0.25"/>
    <row r="3432" s="1" customFormat="1" ht="15.95" customHeight="1" x14ac:dyDescent="0.25"/>
    <row r="3433" s="1" customFormat="1" ht="15.95" customHeight="1" x14ac:dyDescent="0.25"/>
    <row r="3434" s="1" customFormat="1" ht="15.95" customHeight="1" x14ac:dyDescent="0.25"/>
    <row r="3435" s="1" customFormat="1" ht="15.95" customHeight="1" x14ac:dyDescent="0.25"/>
    <row r="3436" s="1" customFormat="1" ht="15.95" customHeight="1" x14ac:dyDescent="0.25"/>
    <row r="3437" s="1" customFormat="1" ht="15.95" customHeight="1" x14ac:dyDescent="0.25"/>
    <row r="3438" s="1" customFormat="1" ht="15.95" customHeight="1" x14ac:dyDescent="0.25"/>
    <row r="3439" s="1" customFormat="1" ht="15.95" customHeight="1" x14ac:dyDescent="0.25"/>
    <row r="3440" s="1" customFormat="1" ht="15.95" customHeight="1" x14ac:dyDescent="0.25"/>
    <row r="3441" s="1" customFormat="1" ht="15.95" customHeight="1" x14ac:dyDescent="0.25"/>
    <row r="3442" s="1" customFormat="1" ht="15.95" customHeight="1" x14ac:dyDescent="0.25"/>
    <row r="3443" s="1" customFormat="1" ht="15.95" customHeight="1" x14ac:dyDescent="0.25"/>
    <row r="3444" s="1" customFormat="1" ht="15.95" customHeight="1" x14ac:dyDescent="0.25"/>
    <row r="3445" s="1" customFormat="1" ht="15.95" customHeight="1" x14ac:dyDescent="0.25"/>
    <row r="3446" s="1" customFormat="1" ht="15.95" customHeight="1" x14ac:dyDescent="0.25"/>
    <row r="3447" s="1" customFormat="1" ht="15.95" customHeight="1" x14ac:dyDescent="0.25"/>
    <row r="3448" s="1" customFormat="1" ht="15.95" customHeight="1" x14ac:dyDescent="0.25"/>
    <row r="3449" s="1" customFormat="1" ht="15.95" customHeight="1" x14ac:dyDescent="0.25"/>
    <row r="3450" s="1" customFormat="1" ht="15.95" customHeight="1" x14ac:dyDescent="0.25"/>
    <row r="3451" s="1" customFormat="1" ht="15.95" customHeight="1" x14ac:dyDescent="0.25"/>
    <row r="3452" s="1" customFormat="1" ht="15.95" customHeight="1" x14ac:dyDescent="0.25"/>
    <row r="3453" s="1" customFormat="1" ht="15.95" customHeight="1" x14ac:dyDescent="0.25"/>
    <row r="3454" s="1" customFormat="1" ht="15.95" customHeight="1" x14ac:dyDescent="0.25"/>
    <row r="3455" s="1" customFormat="1" ht="15.95" customHeight="1" x14ac:dyDescent="0.25"/>
    <row r="3456" s="1" customFormat="1" ht="15.95" customHeight="1" x14ac:dyDescent="0.25"/>
    <row r="3457" s="1" customFormat="1" ht="15.95" customHeight="1" x14ac:dyDescent="0.25"/>
    <row r="3458" s="1" customFormat="1" ht="15.95" customHeight="1" x14ac:dyDescent="0.25"/>
    <row r="3459" s="1" customFormat="1" ht="15.95" customHeight="1" x14ac:dyDescent="0.25"/>
    <row r="3460" s="1" customFormat="1" ht="15.95" customHeight="1" x14ac:dyDescent="0.25"/>
    <row r="3461" s="1" customFormat="1" ht="15.95" customHeight="1" x14ac:dyDescent="0.25"/>
    <row r="3462" s="1" customFormat="1" ht="15.95" customHeight="1" x14ac:dyDescent="0.25"/>
    <row r="3463" s="1" customFormat="1" ht="15.95" customHeight="1" x14ac:dyDescent="0.25"/>
    <row r="3464" s="1" customFormat="1" ht="15.95" customHeight="1" x14ac:dyDescent="0.25"/>
    <row r="3465" s="1" customFormat="1" ht="15.95" customHeight="1" x14ac:dyDescent="0.25"/>
    <row r="3466" s="1" customFormat="1" ht="15.95" customHeight="1" x14ac:dyDescent="0.25"/>
    <row r="3467" s="1" customFormat="1" ht="15.95" customHeight="1" x14ac:dyDescent="0.25"/>
    <row r="3468" s="1" customFormat="1" ht="15.95" customHeight="1" x14ac:dyDescent="0.25"/>
    <row r="3469" s="1" customFormat="1" ht="15.95" customHeight="1" x14ac:dyDescent="0.25"/>
    <row r="3470" s="1" customFormat="1" ht="15.95" customHeight="1" x14ac:dyDescent="0.25"/>
    <row r="3471" s="1" customFormat="1" ht="15.95" customHeight="1" x14ac:dyDescent="0.25"/>
    <row r="3472" s="1" customFormat="1" ht="15.95" customHeight="1" x14ac:dyDescent="0.25"/>
    <row r="3473" s="1" customFormat="1" ht="15.95" customHeight="1" x14ac:dyDescent="0.25"/>
    <row r="3474" s="1" customFormat="1" ht="15.95" customHeight="1" x14ac:dyDescent="0.25"/>
    <row r="3475" s="1" customFormat="1" ht="15.95" customHeight="1" x14ac:dyDescent="0.25"/>
    <row r="3476" s="1" customFormat="1" ht="15.95" customHeight="1" x14ac:dyDescent="0.25"/>
    <row r="3477" s="1" customFormat="1" ht="15.95" customHeight="1" x14ac:dyDescent="0.25"/>
    <row r="3478" s="1" customFormat="1" ht="15.95" customHeight="1" x14ac:dyDescent="0.25"/>
    <row r="3479" s="1" customFormat="1" ht="15.95" customHeight="1" x14ac:dyDescent="0.25"/>
    <row r="3480" s="1" customFormat="1" ht="15.95" customHeight="1" x14ac:dyDescent="0.25"/>
    <row r="3481" s="1" customFormat="1" ht="15.95" customHeight="1" x14ac:dyDescent="0.25"/>
    <row r="3482" s="1" customFormat="1" ht="15.95" customHeight="1" x14ac:dyDescent="0.25"/>
    <row r="3483" s="1" customFormat="1" ht="15.95" customHeight="1" x14ac:dyDescent="0.25"/>
    <row r="3484" s="1" customFormat="1" ht="15.95" customHeight="1" x14ac:dyDescent="0.25"/>
    <row r="3485" s="1" customFormat="1" ht="15.95" customHeight="1" x14ac:dyDescent="0.25"/>
    <row r="3486" s="1" customFormat="1" ht="15.95" customHeight="1" x14ac:dyDescent="0.25"/>
    <row r="3487" s="1" customFormat="1" ht="15.95" customHeight="1" x14ac:dyDescent="0.25"/>
    <row r="3488" s="1" customFormat="1" ht="15.95" customHeight="1" x14ac:dyDescent="0.25"/>
    <row r="3489" s="1" customFormat="1" ht="15.95" customHeight="1" x14ac:dyDescent="0.25"/>
    <row r="3490" s="1" customFormat="1" ht="15.95" customHeight="1" x14ac:dyDescent="0.25"/>
    <row r="3491" s="1" customFormat="1" ht="15.95" customHeight="1" x14ac:dyDescent="0.25"/>
    <row r="3492" s="1" customFormat="1" ht="15.95" customHeight="1" x14ac:dyDescent="0.25"/>
    <row r="3493" s="1" customFormat="1" ht="15.95" customHeight="1" x14ac:dyDescent="0.25"/>
    <row r="3494" s="1" customFormat="1" ht="15.95" customHeight="1" x14ac:dyDescent="0.25"/>
    <row r="3495" s="1" customFormat="1" ht="15.95" customHeight="1" x14ac:dyDescent="0.25"/>
    <row r="3496" s="1" customFormat="1" ht="15.95" customHeight="1" x14ac:dyDescent="0.25"/>
    <row r="3497" s="1" customFormat="1" ht="15.95" customHeight="1" x14ac:dyDescent="0.25"/>
    <row r="3498" s="1" customFormat="1" ht="15.95" customHeight="1" x14ac:dyDescent="0.25"/>
    <row r="3499" s="1" customFormat="1" ht="15.95" customHeight="1" x14ac:dyDescent="0.25"/>
    <row r="3500" s="1" customFormat="1" ht="15.95" customHeight="1" x14ac:dyDescent="0.25"/>
    <row r="3501" s="1" customFormat="1" ht="15.95" customHeight="1" x14ac:dyDescent="0.25"/>
    <row r="3502" s="1" customFormat="1" ht="15.95" customHeight="1" x14ac:dyDescent="0.25"/>
    <row r="3503" s="1" customFormat="1" ht="15.95" customHeight="1" x14ac:dyDescent="0.25"/>
    <row r="3504" s="1" customFormat="1" ht="15.95" customHeight="1" x14ac:dyDescent="0.25"/>
    <row r="3505" s="1" customFormat="1" ht="15.95" customHeight="1" x14ac:dyDescent="0.25"/>
    <row r="3506" s="1" customFormat="1" ht="15.95" customHeight="1" x14ac:dyDescent="0.25"/>
    <row r="3507" s="1" customFormat="1" ht="15.95" customHeight="1" x14ac:dyDescent="0.25"/>
    <row r="3508" s="1" customFormat="1" ht="15.95" customHeight="1" x14ac:dyDescent="0.25"/>
    <row r="3509" s="1" customFormat="1" ht="15.95" customHeight="1" x14ac:dyDescent="0.25"/>
    <row r="3510" s="1" customFormat="1" ht="15.95" customHeight="1" x14ac:dyDescent="0.25"/>
    <row r="3511" s="1" customFormat="1" ht="15.95" customHeight="1" x14ac:dyDescent="0.25"/>
    <row r="3512" s="1" customFormat="1" ht="15.95" customHeight="1" x14ac:dyDescent="0.25"/>
    <row r="3513" s="1" customFormat="1" ht="15.95" customHeight="1" x14ac:dyDescent="0.25"/>
    <row r="3514" s="1" customFormat="1" ht="15.95" customHeight="1" x14ac:dyDescent="0.25"/>
    <row r="3515" s="1" customFormat="1" ht="15.95" customHeight="1" x14ac:dyDescent="0.25"/>
    <row r="3516" s="1" customFormat="1" ht="15.95" customHeight="1" x14ac:dyDescent="0.25"/>
    <row r="3517" s="1" customFormat="1" ht="15.95" customHeight="1" x14ac:dyDescent="0.25"/>
    <row r="3518" s="1" customFormat="1" ht="15.95" customHeight="1" x14ac:dyDescent="0.25"/>
    <row r="3519" s="1" customFormat="1" ht="15.95" customHeight="1" x14ac:dyDescent="0.25"/>
    <row r="3520" s="1" customFormat="1" ht="15.95" customHeight="1" x14ac:dyDescent="0.25"/>
    <row r="3521" s="1" customFormat="1" ht="15.95" customHeight="1" x14ac:dyDescent="0.25"/>
    <row r="3522" s="1" customFormat="1" ht="15.95" customHeight="1" x14ac:dyDescent="0.25"/>
    <row r="3523" s="1" customFormat="1" ht="15.95" customHeight="1" x14ac:dyDescent="0.25"/>
    <row r="3524" s="1" customFormat="1" ht="15.95" customHeight="1" x14ac:dyDescent="0.25"/>
    <row r="3525" s="1" customFormat="1" ht="15.95" customHeight="1" x14ac:dyDescent="0.25"/>
    <row r="3526" s="1" customFormat="1" ht="15.95" customHeight="1" x14ac:dyDescent="0.25"/>
    <row r="3527" s="1" customFormat="1" ht="15.95" customHeight="1" x14ac:dyDescent="0.25"/>
    <row r="3528" s="1" customFormat="1" ht="15.95" customHeight="1" x14ac:dyDescent="0.25"/>
    <row r="3529" s="1" customFormat="1" ht="15.95" customHeight="1" x14ac:dyDescent="0.25"/>
    <row r="3530" s="1" customFormat="1" ht="15.95" customHeight="1" x14ac:dyDescent="0.25"/>
    <row r="3531" s="1" customFormat="1" ht="15.95" customHeight="1" x14ac:dyDescent="0.25"/>
    <row r="3532" s="1" customFormat="1" ht="15.95" customHeight="1" x14ac:dyDescent="0.25"/>
    <row r="3533" s="1" customFormat="1" ht="15.95" customHeight="1" x14ac:dyDescent="0.25"/>
    <row r="3534" s="1" customFormat="1" ht="15.95" customHeight="1" x14ac:dyDescent="0.25"/>
    <row r="3535" s="1" customFormat="1" ht="15.95" customHeight="1" x14ac:dyDescent="0.25"/>
    <row r="3536" s="1" customFormat="1" ht="15.95" customHeight="1" x14ac:dyDescent="0.25"/>
    <row r="3537" s="1" customFormat="1" ht="15.95" customHeight="1" x14ac:dyDescent="0.25"/>
    <row r="3538" s="1" customFormat="1" ht="15.95" customHeight="1" x14ac:dyDescent="0.25"/>
    <row r="3539" s="1" customFormat="1" ht="15.95" customHeight="1" x14ac:dyDescent="0.25"/>
    <row r="3540" s="1" customFormat="1" ht="15.95" customHeight="1" x14ac:dyDescent="0.25"/>
    <row r="3541" s="1" customFormat="1" ht="15.95" customHeight="1" x14ac:dyDescent="0.25"/>
    <row r="3542" s="1" customFormat="1" ht="15.95" customHeight="1" x14ac:dyDescent="0.25"/>
    <row r="3543" s="1" customFormat="1" ht="15.95" customHeight="1" x14ac:dyDescent="0.25"/>
    <row r="3544" s="1" customFormat="1" ht="15.95" customHeight="1" x14ac:dyDescent="0.25"/>
    <row r="3545" s="1" customFormat="1" ht="15.95" customHeight="1" x14ac:dyDescent="0.25"/>
    <row r="3546" s="1" customFormat="1" ht="15.95" customHeight="1" x14ac:dyDescent="0.25"/>
    <row r="3547" s="1" customFormat="1" ht="15.95" customHeight="1" x14ac:dyDescent="0.25"/>
    <row r="3548" s="1" customFormat="1" ht="15.95" customHeight="1" x14ac:dyDescent="0.25"/>
    <row r="3549" s="1" customFormat="1" ht="15.95" customHeight="1" x14ac:dyDescent="0.25"/>
    <row r="3550" s="1" customFormat="1" ht="15.95" customHeight="1" x14ac:dyDescent="0.25"/>
    <row r="3551" s="1" customFormat="1" ht="15.95" customHeight="1" x14ac:dyDescent="0.25"/>
    <row r="3552" s="1" customFormat="1" ht="15.95" customHeight="1" x14ac:dyDescent="0.25"/>
    <row r="3553" s="1" customFormat="1" ht="15.95" customHeight="1" x14ac:dyDescent="0.25"/>
    <row r="3554" s="1" customFormat="1" ht="15.95" customHeight="1" x14ac:dyDescent="0.25"/>
    <row r="3555" s="1" customFormat="1" ht="15.95" customHeight="1" x14ac:dyDescent="0.25"/>
    <row r="3556" s="1" customFormat="1" ht="15.95" customHeight="1" x14ac:dyDescent="0.25"/>
    <row r="3557" s="1" customFormat="1" ht="15.95" customHeight="1" x14ac:dyDescent="0.25"/>
    <row r="3558" s="1" customFormat="1" ht="15.95" customHeight="1" x14ac:dyDescent="0.25"/>
    <row r="3559" s="1" customFormat="1" ht="15.95" customHeight="1" x14ac:dyDescent="0.25"/>
    <row r="3560" s="1" customFormat="1" ht="15.95" customHeight="1" x14ac:dyDescent="0.25"/>
    <row r="3561" s="1" customFormat="1" ht="15.95" customHeight="1" x14ac:dyDescent="0.25"/>
    <row r="3562" s="1" customFormat="1" ht="15.95" customHeight="1" x14ac:dyDescent="0.25"/>
    <row r="3563" s="1" customFormat="1" ht="15.95" customHeight="1" x14ac:dyDescent="0.25"/>
    <row r="3564" s="1" customFormat="1" ht="15.95" customHeight="1" x14ac:dyDescent="0.25"/>
    <row r="3565" s="1" customFormat="1" ht="15.95" customHeight="1" x14ac:dyDescent="0.25"/>
    <row r="3566" s="1" customFormat="1" ht="15.95" customHeight="1" x14ac:dyDescent="0.25"/>
    <row r="3567" s="1" customFormat="1" ht="15.95" customHeight="1" x14ac:dyDescent="0.25"/>
    <row r="3568" s="1" customFormat="1" ht="15.95" customHeight="1" x14ac:dyDescent="0.25"/>
    <row r="3569" s="1" customFormat="1" ht="15.95" customHeight="1" x14ac:dyDescent="0.25"/>
    <row r="3570" s="1" customFormat="1" ht="15.95" customHeight="1" x14ac:dyDescent="0.25"/>
    <row r="3571" s="1" customFormat="1" ht="15.95" customHeight="1" x14ac:dyDescent="0.25"/>
    <row r="3572" s="1" customFormat="1" ht="15.95" customHeight="1" x14ac:dyDescent="0.25"/>
    <row r="3573" s="1" customFormat="1" ht="15.95" customHeight="1" x14ac:dyDescent="0.25"/>
    <row r="3574" s="1" customFormat="1" ht="15.95" customHeight="1" x14ac:dyDescent="0.25"/>
    <row r="3575" s="1" customFormat="1" ht="15.95" customHeight="1" x14ac:dyDescent="0.25"/>
    <row r="3576" s="1" customFormat="1" ht="15.95" customHeight="1" x14ac:dyDescent="0.25"/>
    <row r="3577" s="1" customFormat="1" ht="15.95" customHeight="1" x14ac:dyDescent="0.25"/>
    <row r="3578" s="1" customFormat="1" ht="15.95" customHeight="1" x14ac:dyDescent="0.25"/>
    <row r="3579" s="1" customFormat="1" ht="15.95" customHeight="1" x14ac:dyDescent="0.25"/>
    <row r="3580" s="1" customFormat="1" ht="15.95" customHeight="1" x14ac:dyDescent="0.25"/>
    <row r="3581" s="1" customFormat="1" ht="15.95" customHeight="1" x14ac:dyDescent="0.25"/>
    <row r="3582" s="1" customFormat="1" ht="15.95" customHeight="1" x14ac:dyDescent="0.25"/>
    <row r="3583" s="1" customFormat="1" ht="15.95" customHeight="1" x14ac:dyDescent="0.25"/>
    <row r="3584" s="1" customFormat="1" ht="15.95" customHeight="1" x14ac:dyDescent="0.25"/>
    <row r="3585" s="1" customFormat="1" ht="15.95" customHeight="1" x14ac:dyDescent="0.25"/>
    <row r="3586" s="1" customFormat="1" ht="15.95" customHeight="1" x14ac:dyDescent="0.25"/>
    <row r="3587" s="1" customFormat="1" ht="15.95" customHeight="1" x14ac:dyDescent="0.25"/>
    <row r="3588" s="1" customFormat="1" ht="15.95" customHeight="1" x14ac:dyDescent="0.25"/>
    <row r="3589" s="1" customFormat="1" ht="15.95" customHeight="1" x14ac:dyDescent="0.25"/>
    <row r="3590" s="1" customFormat="1" ht="15.95" customHeight="1" x14ac:dyDescent="0.25"/>
    <row r="3591" s="1" customFormat="1" ht="15.95" customHeight="1" x14ac:dyDescent="0.25"/>
    <row r="3592" s="1" customFormat="1" ht="15.95" customHeight="1" x14ac:dyDescent="0.25"/>
    <row r="3593" s="1" customFormat="1" ht="15.95" customHeight="1" x14ac:dyDescent="0.25"/>
    <row r="3594" s="1" customFormat="1" ht="15.95" customHeight="1" x14ac:dyDescent="0.25"/>
    <row r="3595" s="1" customFormat="1" ht="15.95" customHeight="1" x14ac:dyDescent="0.25"/>
    <row r="3596" s="1" customFormat="1" ht="15.95" customHeight="1" x14ac:dyDescent="0.25"/>
    <row r="3597" s="1" customFormat="1" ht="15.95" customHeight="1" x14ac:dyDescent="0.25"/>
    <row r="3598" s="1" customFormat="1" ht="15.95" customHeight="1" x14ac:dyDescent="0.25"/>
    <row r="3599" s="1" customFormat="1" ht="15.95" customHeight="1" x14ac:dyDescent="0.25"/>
    <row r="3600" s="1" customFormat="1" ht="15.95" customHeight="1" x14ac:dyDescent="0.25"/>
    <row r="3601" s="1" customFormat="1" ht="15.95" customHeight="1" x14ac:dyDescent="0.25"/>
    <row r="3602" s="1" customFormat="1" ht="15.95" customHeight="1" x14ac:dyDescent="0.25"/>
    <row r="3603" s="1" customFormat="1" ht="15.95" customHeight="1" x14ac:dyDescent="0.25"/>
    <row r="3604" s="1" customFormat="1" ht="15.95" customHeight="1" x14ac:dyDescent="0.25"/>
    <row r="3605" s="1" customFormat="1" ht="15.95" customHeight="1" x14ac:dyDescent="0.25"/>
    <row r="3606" s="1" customFormat="1" ht="15.95" customHeight="1" x14ac:dyDescent="0.25"/>
    <row r="3607" s="1" customFormat="1" ht="15.95" customHeight="1" x14ac:dyDescent="0.25"/>
    <row r="3608" s="1" customFormat="1" ht="15.95" customHeight="1" x14ac:dyDescent="0.25"/>
    <row r="3609" s="1" customFormat="1" ht="15.95" customHeight="1" x14ac:dyDescent="0.25"/>
    <row r="3610" s="1" customFormat="1" ht="15.95" customHeight="1" x14ac:dyDescent="0.25"/>
    <row r="3611" s="1" customFormat="1" ht="15.95" customHeight="1" x14ac:dyDescent="0.25"/>
    <row r="3612" s="1" customFormat="1" ht="15.95" customHeight="1" x14ac:dyDescent="0.25"/>
    <row r="3613" s="1" customFormat="1" ht="15.95" customHeight="1" x14ac:dyDescent="0.25"/>
    <row r="3614" s="1" customFormat="1" ht="15.95" customHeight="1" x14ac:dyDescent="0.25"/>
    <row r="3615" s="1" customFormat="1" ht="15.95" customHeight="1" x14ac:dyDescent="0.25"/>
    <row r="3616" s="1" customFormat="1" ht="15.95" customHeight="1" x14ac:dyDescent="0.25"/>
    <row r="3617" s="1" customFormat="1" ht="15.95" customHeight="1" x14ac:dyDescent="0.25"/>
    <row r="3618" s="1" customFormat="1" ht="15.95" customHeight="1" x14ac:dyDescent="0.25"/>
    <row r="3619" s="1" customFormat="1" ht="15.95" customHeight="1" x14ac:dyDescent="0.25"/>
    <row r="3620" s="1" customFormat="1" ht="15.95" customHeight="1" x14ac:dyDescent="0.25"/>
    <row r="3621" s="1" customFormat="1" ht="15.95" customHeight="1" x14ac:dyDescent="0.25"/>
    <row r="3622" s="1" customFormat="1" ht="15.95" customHeight="1" x14ac:dyDescent="0.25"/>
    <row r="3623" s="1" customFormat="1" ht="15.95" customHeight="1" x14ac:dyDescent="0.25"/>
    <row r="3624" s="1" customFormat="1" ht="15.95" customHeight="1" x14ac:dyDescent="0.25"/>
    <row r="3625" s="1" customFormat="1" ht="15.95" customHeight="1" x14ac:dyDescent="0.25"/>
    <row r="3626" s="1" customFormat="1" ht="15.95" customHeight="1" x14ac:dyDescent="0.25"/>
    <row r="3627" s="1" customFormat="1" ht="15.95" customHeight="1" x14ac:dyDescent="0.25"/>
    <row r="3628" s="1" customFormat="1" ht="15.95" customHeight="1" x14ac:dyDescent="0.25"/>
    <row r="3629" s="1" customFormat="1" ht="15.95" customHeight="1" x14ac:dyDescent="0.25"/>
    <row r="3630" s="1" customFormat="1" ht="15.95" customHeight="1" x14ac:dyDescent="0.25"/>
    <row r="3631" s="1" customFormat="1" ht="15.95" customHeight="1" x14ac:dyDescent="0.25"/>
    <row r="3632" s="1" customFormat="1" ht="15.95" customHeight="1" x14ac:dyDescent="0.25"/>
    <row r="3633" s="1" customFormat="1" ht="15.95" customHeight="1" x14ac:dyDescent="0.25"/>
    <row r="3634" s="1" customFormat="1" ht="15.95" customHeight="1" x14ac:dyDescent="0.25"/>
    <row r="3635" s="1" customFormat="1" ht="15.95" customHeight="1" x14ac:dyDescent="0.25"/>
    <row r="3636" s="1" customFormat="1" ht="15.95" customHeight="1" x14ac:dyDescent="0.25"/>
    <row r="3637" s="1" customFormat="1" ht="15.95" customHeight="1" x14ac:dyDescent="0.25"/>
    <row r="3638" s="1" customFormat="1" ht="15.95" customHeight="1" x14ac:dyDescent="0.25"/>
    <row r="3639" s="1" customFormat="1" ht="15.95" customHeight="1" x14ac:dyDescent="0.25"/>
    <row r="3640" s="1" customFormat="1" ht="15.95" customHeight="1" x14ac:dyDescent="0.25"/>
    <row r="3641" s="1" customFormat="1" ht="15.95" customHeight="1" x14ac:dyDescent="0.25"/>
    <row r="3642" s="1" customFormat="1" ht="15.95" customHeight="1" x14ac:dyDescent="0.25"/>
    <row r="3643" s="1" customFormat="1" ht="15.95" customHeight="1" x14ac:dyDescent="0.25"/>
    <row r="3644" s="1" customFormat="1" ht="15.95" customHeight="1" x14ac:dyDescent="0.25"/>
    <row r="3645" s="1" customFormat="1" ht="15.95" customHeight="1" x14ac:dyDescent="0.25"/>
    <row r="3646" s="1" customFormat="1" ht="15.95" customHeight="1" x14ac:dyDescent="0.25"/>
    <row r="3647" s="1" customFormat="1" ht="15.95" customHeight="1" x14ac:dyDescent="0.25"/>
    <row r="3648" s="1" customFormat="1" ht="15.95" customHeight="1" x14ac:dyDescent="0.25"/>
    <row r="3649" s="1" customFormat="1" ht="15.95" customHeight="1" x14ac:dyDescent="0.25"/>
    <row r="3650" s="1" customFormat="1" ht="15.95" customHeight="1" x14ac:dyDescent="0.25"/>
    <row r="3651" s="1" customFormat="1" ht="15.95" customHeight="1" x14ac:dyDescent="0.25"/>
    <row r="3652" s="1" customFormat="1" ht="15.95" customHeight="1" x14ac:dyDescent="0.25"/>
    <row r="3653" s="1" customFormat="1" ht="15.95" customHeight="1" x14ac:dyDescent="0.25"/>
    <row r="3654" s="1" customFormat="1" ht="15.95" customHeight="1" x14ac:dyDescent="0.25"/>
    <row r="3655" s="1" customFormat="1" ht="15.95" customHeight="1" x14ac:dyDescent="0.25"/>
    <row r="3656" s="1" customFormat="1" ht="15.95" customHeight="1" x14ac:dyDescent="0.25"/>
    <row r="3657" s="1" customFormat="1" ht="15.95" customHeight="1" x14ac:dyDescent="0.25"/>
    <row r="3658" s="1" customFormat="1" ht="15.95" customHeight="1" x14ac:dyDescent="0.25"/>
    <row r="3659" s="1" customFormat="1" ht="15.95" customHeight="1" x14ac:dyDescent="0.25"/>
    <row r="3660" s="1" customFormat="1" ht="15.95" customHeight="1" x14ac:dyDescent="0.25"/>
    <row r="3661" s="1" customFormat="1" ht="15.95" customHeight="1" x14ac:dyDescent="0.25"/>
    <row r="3662" s="1" customFormat="1" ht="15.95" customHeight="1" x14ac:dyDescent="0.25"/>
    <row r="3663" s="1" customFormat="1" ht="15.95" customHeight="1" x14ac:dyDescent="0.25"/>
    <row r="3664" s="1" customFormat="1" ht="15.95" customHeight="1" x14ac:dyDescent="0.25"/>
    <row r="3665" s="1" customFormat="1" ht="15.95" customHeight="1" x14ac:dyDescent="0.25"/>
    <row r="3666" s="1" customFormat="1" ht="15.95" customHeight="1" x14ac:dyDescent="0.25"/>
    <row r="3667" s="1" customFormat="1" ht="15.95" customHeight="1" x14ac:dyDescent="0.25"/>
    <row r="3668" s="1" customFormat="1" ht="15.95" customHeight="1" x14ac:dyDescent="0.25"/>
    <row r="3669" s="1" customFormat="1" ht="15.95" customHeight="1" x14ac:dyDescent="0.25"/>
    <row r="3670" s="1" customFormat="1" ht="15.95" customHeight="1" x14ac:dyDescent="0.25"/>
    <row r="3671" s="1" customFormat="1" ht="15.95" customHeight="1" x14ac:dyDescent="0.25"/>
    <row r="3672" s="1" customFormat="1" ht="15.95" customHeight="1" x14ac:dyDescent="0.25"/>
    <row r="3673" s="1" customFormat="1" ht="15.95" customHeight="1" x14ac:dyDescent="0.25"/>
    <row r="3674" s="1" customFormat="1" ht="15.95" customHeight="1" x14ac:dyDescent="0.25"/>
    <row r="3675" s="1" customFormat="1" ht="15.95" customHeight="1" x14ac:dyDescent="0.25"/>
    <row r="3676" s="1" customFormat="1" ht="15.95" customHeight="1" x14ac:dyDescent="0.25"/>
    <row r="3677" s="1" customFormat="1" ht="15.95" customHeight="1" x14ac:dyDescent="0.25"/>
    <row r="3678" s="1" customFormat="1" ht="15.95" customHeight="1" x14ac:dyDescent="0.25"/>
    <row r="3679" s="1" customFormat="1" ht="15.95" customHeight="1" x14ac:dyDescent="0.25"/>
    <row r="3680" s="1" customFormat="1" ht="15.95" customHeight="1" x14ac:dyDescent="0.25"/>
    <row r="3681" s="1" customFormat="1" ht="15.95" customHeight="1" x14ac:dyDescent="0.25"/>
    <row r="3682" s="1" customFormat="1" ht="15.95" customHeight="1" x14ac:dyDescent="0.25"/>
    <row r="3683" s="1" customFormat="1" ht="15.95" customHeight="1" x14ac:dyDescent="0.25"/>
    <row r="3684" s="1" customFormat="1" ht="15.95" customHeight="1" x14ac:dyDescent="0.25"/>
    <row r="3685" s="1" customFormat="1" ht="15.95" customHeight="1" x14ac:dyDescent="0.25"/>
    <row r="3686" s="1" customFormat="1" ht="15.95" customHeight="1" x14ac:dyDescent="0.25"/>
    <row r="3687" s="1" customFormat="1" ht="15.95" customHeight="1" x14ac:dyDescent="0.25"/>
    <row r="3688" s="1" customFormat="1" ht="15.95" customHeight="1" x14ac:dyDescent="0.25"/>
    <row r="3689" s="1" customFormat="1" ht="15.95" customHeight="1" x14ac:dyDescent="0.25"/>
    <row r="3690" s="1" customFormat="1" ht="15.95" customHeight="1" x14ac:dyDescent="0.25"/>
    <row r="3691" s="1" customFormat="1" ht="15.95" customHeight="1" x14ac:dyDescent="0.25"/>
    <row r="3692" s="1" customFormat="1" ht="15.95" customHeight="1" x14ac:dyDescent="0.25"/>
    <row r="3693" s="1" customFormat="1" ht="15.95" customHeight="1" x14ac:dyDescent="0.25"/>
    <row r="3694" s="1" customFormat="1" ht="15.95" customHeight="1" x14ac:dyDescent="0.25"/>
    <row r="3695" s="1" customFormat="1" ht="15.95" customHeight="1" x14ac:dyDescent="0.25"/>
    <row r="3696" s="1" customFormat="1" ht="15.95" customHeight="1" x14ac:dyDescent="0.25"/>
    <row r="3697" s="1" customFormat="1" ht="15.95" customHeight="1" x14ac:dyDescent="0.25"/>
    <row r="3698" s="1" customFormat="1" ht="15.95" customHeight="1" x14ac:dyDescent="0.25"/>
    <row r="3699" s="1" customFormat="1" ht="15.95" customHeight="1" x14ac:dyDescent="0.25"/>
    <row r="3700" s="1" customFormat="1" ht="15.95" customHeight="1" x14ac:dyDescent="0.25"/>
    <row r="3701" s="1" customFormat="1" ht="15.95" customHeight="1" x14ac:dyDescent="0.25"/>
    <row r="3702" s="1" customFormat="1" ht="15.95" customHeight="1" x14ac:dyDescent="0.25"/>
    <row r="3703" s="1" customFormat="1" ht="15.95" customHeight="1" x14ac:dyDescent="0.25"/>
    <row r="3704" s="1" customFormat="1" ht="15.95" customHeight="1" x14ac:dyDescent="0.25"/>
    <row r="3705" s="1" customFormat="1" ht="15.95" customHeight="1" x14ac:dyDescent="0.25"/>
    <row r="3706" s="1" customFormat="1" ht="15.95" customHeight="1" x14ac:dyDescent="0.25"/>
    <row r="3707" s="1" customFormat="1" ht="15.95" customHeight="1" x14ac:dyDescent="0.25"/>
    <row r="3708" s="1" customFormat="1" ht="15.95" customHeight="1" x14ac:dyDescent="0.25"/>
    <row r="3709" s="1" customFormat="1" ht="15.95" customHeight="1" x14ac:dyDescent="0.25"/>
    <row r="3710" s="1" customFormat="1" ht="15.95" customHeight="1" x14ac:dyDescent="0.25"/>
    <row r="3711" s="1" customFormat="1" ht="15.95" customHeight="1" x14ac:dyDescent="0.25"/>
    <row r="3712" s="1" customFormat="1" ht="15.95" customHeight="1" x14ac:dyDescent="0.25"/>
    <row r="3713" s="1" customFormat="1" ht="15.95" customHeight="1" x14ac:dyDescent="0.25"/>
    <row r="3714" s="1" customFormat="1" ht="15.95" customHeight="1" x14ac:dyDescent="0.25"/>
    <row r="3715" s="1" customFormat="1" ht="15.95" customHeight="1" x14ac:dyDescent="0.25"/>
    <row r="3716" s="1" customFormat="1" ht="15.95" customHeight="1" x14ac:dyDescent="0.25"/>
    <row r="3717" s="1" customFormat="1" ht="15.95" customHeight="1" x14ac:dyDescent="0.25"/>
    <row r="3718" s="1" customFormat="1" ht="15.95" customHeight="1" x14ac:dyDescent="0.25"/>
    <row r="3719" s="1" customFormat="1" ht="15.95" customHeight="1" x14ac:dyDescent="0.25"/>
    <row r="3720" s="1" customFormat="1" ht="15.95" customHeight="1" x14ac:dyDescent="0.25"/>
    <row r="3721" s="1" customFormat="1" ht="15.95" customHeight="1" x14ac:dyDescent="0.25"/>
    <row r="3722" s="1" customFormat="1" ht="15.95" customHeight="1" x14ac:dyDescent="0.25"/>
    <row r="3723" s="1" customFormat="1" ht="15.95" customHeight="1" x14ac:dyDescent="0.25"/>
    <row r="3724" s="1" customFormat="1" ht="15.95" customHeight="1" x14ac:dyDescent="0.25"/>
    <row r="3725" s="1" customFormat="1" ht="15.95" customHeight="1" x14ac:dyDescent="0.25"/>
    <row r="3726" s="1" customFormat="1" ht="15.95" customHeight="1" x14ac:dyDescent="0.25"/>
    <row r="3727" s="1" customFormat="1" ht="15.95" customHeight="1" x14ac:dyDescent="0.25"/>
    <row r="3728" s="1" customFormat="1" ht="15.95" customHeight="1" x14ac:dyDescent="0.25"/>
    <row r="3729" s="1" customFormat="1" ht="15.95" customHeight="1" x14ac:dyDescent="0.25"/>
    <row r="3730" s="1" customFormat="1" ht="15.95" customHeight="1" x14ac:dyDescent="0.25"/>
    <row r="3731" s="1" customFormat="1" ht="15.95" customHeight="1" x14ac:dyDescent="0.25"/>
    <row r="3732" s="1" customFormat="1" ht="15.95" customHeight="1" x14ac:dyDescent="0.25"/>
    <row r="3733" s="1" customFormat="1" ht="15.95" customHeight="1" x14ac:dyDescent="0.25"/>
    <row r="3734" s="1" customFormat="1" ht="15.95" customHeight="1" x14ac:dyDescent="0.25"/>
    <row r="3735" s="1" customFormat="1" ht="15.95" customHeight="1" x14ac:dyDescent="0.25"/>
    <row r="3736" s="1" customFormat="1" ht="15.95" customHeight="1" x14ac:dyDescent="0.25"/>
    <row r="3737" s="1" customFormat="1" ht="15.95" customHeight="1" x14ac:dyDescent="0.25"/>
    <row r="3738" s="1" customFormat="1" ht="15.95" customHeight="1" x14ac:dyDescent="0.25"/>
    <row r="3739" s="1" customFormat="1" ht="15.95" customHeight="1" x14ac:dyDescent="0.25"/>
    <row r="3740" s="1" customFormat="1" ht="15.95" customHeight="1" x14ac:dyDescent="0.25"/>
    <row r="3741" s="1" customFormat="1" ht="15.95" customHeight="1" x14ac:dyDescent="0.25"/>
    <row r="3742" s="1" customFormat="1" ht="15.95" customHeight="1" x14ac:dyDescent="0.25"/>
    <row r="3743" s="1" customFormat="1" ht="15.95" customHeight="1" x14ac:dyDescent="0.25"/>
    <row r="3744" s="1" customFormat="1" ht="15.95" customHeight="1" x14ac:dyDescent="0.25"/>
    <row r="3745" s="1" customFormat="1" ht="15.95" customHeight="1" x14ac:dyDescent="0.25"/>
    <row r="3746" s="1" customFormat="1" ht="15.95" customHeight="1" x14ac:dyDescent="0.25"/>
    <row r="3747" s="1" customFormat="1" ht="15.95" customHeight="1" x14ac:dyDescent="0.25"/>
    <row r="3748" s="1" customFormat="1" ht="15.95" customHeight="1" x14ac:dyDescent="0.25"/>
    <row r="3749" s="1" customFormat="1" ht="15.95" customHeight="1" x14ac:dyDescent="0.25"/>
    <row r="3750" s="1" customFormat="1" ht="15.95" customHeight="1" x14ac:dyDescent="0.25"/>
    <row r="3751" s="1" customFormat="1" ht="15.95" customHeight="1" x14ac:dyDescent="0.25"/>
    <row r="3752" s="1" customFormat="1" ht="15.95" customHeight="1" x14ac:dyDescent="0.25"/>
    <row r="3753" s="1" customFormat="1" ht="15.95" customHeight="1" x14ac:dyDescent="0.25"/>
    <row r="3754" s="1" customFormat="1" ht="15.95" customHeight="1" x14ac:dyDescent="0.25"/>
    <row r="3755" s="1" customFormat="1" ht="15.95" customHeight="1" x14ac:dyDescent="0.25"/>
    <row r="3756" s="1" customFormat="1" ht="15.95" customHeight="1" x14ac:dyDescent="0.25"/>
    <row r="3757" s="1" customFormat="1" ht="15.95" customHeight="1" x14ac:dyDescent="0.25"/>
    <row r="3758" s="1" customFormat="1" ht="15.95" customHeight="1" x14ac:dyDescent="0.25"/>
    <row r="3759" s="1" customFormat="1" ht="15.95" customHeight="1" x14ac:dyDescent="0.25"/>
    <row r="3760" s="1" customFormat="1" ht="15.95" customHeight="1" x14ac:dyDescent="0.25"/>
    <row r="3761" s="1" customFormat="1" ht="15.95" customHeight="1" x14ac:dyDescent="0.25"/>
    <row r="3762" s="1" customFormat="1" ht="15.95" customHeight="1" x14ac:dyDescent="0.25"/>
    <row r="3763" s="1" customFormat="1" ht="15.95" customHeight="1" x14ac:dyDescent="0.25"/>
    <row r="3764" s="1" customFormat="1" ht="15.95" customHeight="1" x14ac:dyDescent="0.25"/>
    <row r="3765" s="1" customFormat="1" ht="15.95" customHeight="1" x14ac:dyDescent="0.25"/>
    <row r="3766" s="1" customFormat="1" ht="15.95" customHeight="1" x14ac:dyDescent="0.25"/>
    <row r="3767" s="1" customFormat="1" ht="15.95" customHeight="1" x14ac:dyDescent="0.25"/>
    <row r="3768" s="1" customFormat="1" ht="15.95" customHeight="1" x14ac:dyDescent="0.25"/>
    <row r="3769" s="1" customFormat="1" ht="15.95" customHeight="1" x14ac:dyDescent="0.25"/>
    <row r="3770" s="1" customFormat="1" ht="15.95" customHeight="1" x14ac:dyDescent="0.25"/>
    <row r="3771" s="1" customFormat="1" ht="15.95" customHeight="1" x14ac:dyDescent="0.25"/>
    <row r="3772" s="1" customFormat="1" ht="15.95" customHeight="1" x14ac:dyDescent="0.25"/>
    <row r="3773" s="1" customFormat="1" ht="15.95" customHeight="1" x14ac:dyDescent="0.25"/>
    <row r="3774" s="1" customFormat="1" ht="15.95" customHeight="1" x14ac:dyDescent="0.25"/>
    <row r="3775" s="1" customFormat="1" ht="15.95" customHeight="1" x14ac:dyDescent="0.25"/>
    <row r="3776" s="1" customFormat="1" ht="15.95" customHeight="1" x14ac:dyDescent="0.25"/>
    <row r="3777" s="1" customFormat="1" ht="15.95" customHeight="1" x14ac:dyDescent="0.25"/>
    <row r="3778" s="1" customFormat="1" ht="15.95" customHeight="1" x14ac:dyDescent="0.25"/>
    <row r="3779" s="1" customFormat="1" ht="15.95" customHeight="1" x14ac:dyDescent="0.25"/>
    <row r="3780" s="1" customFormat="1" ht="15.95" customHeight="1" x14ac:dyDescent="0.25"/>
    <row r="3781" s="1" customFormat="1" ht="15.95" customHeight="1" x14ac:dyDescent="0.25"/>
    <row r="3782" s="1" customFormat="1" ht="15.95" customHeight="1" x14ac:dyDescent="0.25"/>
    <row r="3783" s="1" customFormat="1" ht="15.95" customHeight="1" x14ac:dyDescent="0.25"/>
    <row r="3784" s="1" customFormat="1" ht="15.95" customHeight="1" x14ac:dyDescent="0.25"/>
    <row r="3785" s="1" customFormat="1" ht="15.95" customHeight="1" x14ac:dyDescent="0.25"/>
    <row r="3786" s="1" customFormat="1" ht="15.95" customHeight="1" x14ac:dyDescent="0.25"/>
    <row r="3787" s="1" customFormat="1" ht="15.95" customHeight="1" x14ac:dyDescent="0.25"/>
    <row r="3788" s="1" customFormat="1" ht="15.95" customHeight="1" x14ac:dyDescent="0.25"/>
    <row r="3789" s="1" customFormat="1" ht="15.95" customHeight="1" x14ac:dyDescent="0.25"/>
    <row r="3790" s="1" customFormat="1" ht="15.95" customHeight="1" x14ac:dyDescent="0.25"/>
    <row r="3791" s="1" customFormat="1" ht="15.95" customHeight="1" x14ac:dyDescent="0.25"/>
    <row r="3792" s="1" customFormat="1" ht="15.95" customHeight="1" x14ac:dyDescent="0.25"/>
    <row r="3793" s="1" customFormat="1" ht="15.95" customHeight="1" x14ac:dyDescent="0.25"/>
    <row r="3794" s="1" customFormat="1" ht="15.95" customHeight="1" x14ac:dyDescent="0.25"/>
    <row r="3795" s="1" customFormat="1" ht="15.95" customHeight="1" x14ac:dyDescent="0.25"/>
    <row r="3796" s="1" customFormat="1" ht="15.95" customHeight="1" x14ac:dyDescent="0.25"/>
    <row r="3797" s="1" customFormat="1" ht="15.95" customHeight="1" x14ac:dyDescent="0.25"/>
    <row r="3798" s="1" customFormat="1" ht="15.95" customHeight="1" x14ac:dyDescent="0.25"/>
    <row r="3799" s="1" customFormat="1" ht="15.95" customHeight="1" x14ac:dyDescent="0.25"/>
    <row r="3800" s="1" customFormat="1" ht="15.95" customHeight="1" x14ac:dyDescent="0.25"/>
    <row r="3801" s="1" customFormat="1" ht="15.95" customHeight="1" x14ac:dyDescent="0.25"/>
    <row r="3802" s="1" customFormat="1" ht="15.95" customHeight="1" x14ac:dyDescent="0.25"/>
    <row r="3803" s="1" customFormat="1" ht="15.95" customHeight="1" x14ac:dyDescent="0.25"/>
    <row r="3804" s="1" customFormat="1" ht="15.95" customHeight="1" x14ac:dyDescent="0.25"/>
    <row r="3805" s="1" customFormat="1" ht="15.95" customHeight="1" x14ac:dyDescent="0.25"/>
    <row r="3806" s="1" customFormat="1" ht="15.95" customHeight="1" x14ac:dyDescent="0.25"/>
    <row r="3807" s="1" customFormat="1" ht="15.95" customHeight="1" x14ac:dyDescent="0.25"/>
    <row r="3808" s="1" customFormat="1" ht="15.95" customHeight="1" x14ac:dyDescent="0.25"/>
    <row r="3809" s="1" customFormat="1" ht="15.95" customHeight="1" x14ac:dyDescent="0.25"/>
    <row r="3810" s="1" customFormat="1" ht="15.95" customHeight="1" x14ac:dyDescent="0.25"/>
    <row r="3811" s="1" customFormat="1" ht="15.95" customHeight="1" x14ac:dyDescent="0.25"/>
    <row r="3812" s="1" customFormat="1" ht="15.95" customHeight="1" x14ac:dyDescent="0.25"/>
    <row r="3813" s="1" customFormat="1" ht="15.95" customHeight="1" x14ac:dyDescent="0.25"/>
    <row r="3814" s="1" customFormat="1" ht="15.95" customHeight="1" x14ac:dyDescent="0.25"/>
    <row r="3815" s="1" customFormat="1" ht="15.95" customHeight="1" x14ac:dyDescent="0.25"/>
    <row r="3816" s="1" customFormat="1" ht="15.95" customHeight="1" x14ac:dyDescent="0.25"/>
    <row r="3817" s="1" customFormat="1" ht="15.95" customHeight="1" x14ac:dyDescent="0.25"/>
    <row r="3818" s="1" customFormat="1" ht="15.95" customHeight="1" x14ac:dyDescent="0.25"/>
    <row r="3819" s="1" customFormat="1" ht="15.95" customHeight="1" x14ac:dyDescent="0.25"/>
    <row r="3820" s="1" customFormat="1" ht="15.95" customHeight="1" x14ac:dyDescent="0.25"/>
    <row r="3821" s="1" customFormat="1" ht="15.95" customHeight="1" x14ac:dyDescent="0.25"/>
    <row r="3822" s="1" customFormat="1" ht="15.95" customHeight="1" x14ac:dyDescent="0.25"/>
    <row r="3823" s="1" customFormat="1" ht="15.95" customHeight="1" x14ac:dyDescent="0.25"/>
    <row r="3824" s="1" customFormat="1" ht="15.95" customHeight="1" x14ac:dyDescent="0.25"/>
    <row r="3825" s="1" customFormat="1" ht="15.95" customHeight="1" x14ac:dyDescent="0.25"/>
    <row r="3826" s="1" customFormat="1" ht="15.95" customHeight="1" x14ac:dyDescent="0.25"/>
    <row r="3827" s="1" customFormat="1" ht="15.95" customHeight="1" x14ac:dyDescent="0.25"/>
    <row r="3828" s="1" customFormat="1" ht="15.95" customHeight="1" x14ac:dyDescent="0.25"/>
    <row r="3829" s="1" customFormat="1" ht="15.95" customHeight="1" x14ac:dyDescent="0.25"/>
    <row r="3830" s="1" customFormat="1" ht="15.95" customHeight="1" x14ac:dyDescent="0.25"/>
    <row r="3831" s="1" customFormat="1" ht="15.95" customHeight="1" x14ac:dyDescent="0.25"/>
    <row r="3832" s="1" customFormat="1" ht="15.95" customHeight="1" x14ac:dyDescent="0.25"/>
    <row r="3833" s="1" customFormat="1" ht="15.95" customHeight="1" x14ac:dyDescent="0.25"/>
    <row r="3834" s="1" customFormat="1" ht="15.95" customHeight="1" x14ac:dyDescent="0.25"/>
    <row r="3835" s="1" customFormat="1" ht="15.95" customHeight="1" x14ac:dyDescent="0.25"/>
    <row r="3836" s="1" customFormat="1" ht="15.95" customHeight="1" x14ac:dyDescent="0.25"/>
    <row r="3837" s="1" customFormat="1" ht="15.95" customHeight="1" x14ac:dyDescent="0.25"/>
    <row r="3838" s="1" customFormat="1" ht="15.95" customHeight="1" x14ac:dyDescent="0.25"/>
    <row r="3839" s="1" customFormat="1" ht="15.95" customHeight="1" x14ac:dyDescent="0.25"/>
    <row r="3840" s="1" customFormat="1" ht="15.95" customHeight="1" x14ac:dyDescent="0.25"/>
    <row r="3841" s="1" customFormat="1" ht="15.95" customHeight="1" x14ac:dyDescent="0.25"/>
    <row r="3842" s="1" customFormat="1" ht="15.95" customHeight="1" x14ac:dyDescent="0.25"/>
    <row r="3843" s="1" customFormat="1" ht="15.95" customHeight="1" x14ac:dyDescent="0.25"/>
    <row r="3844" s="1" customFormat="1" ht="15.95" customHeight="1" x14ac:dyDescent="0.25"/>
    <row r="3845" s="1" customFormat="1" ht="15.95" customHeight="1" x14ac:dyDescent="0.25"/>
    <row r="3846" s="1" customFormat="1" ht="15.95" customHeight="1" x14ac:dyDescent="0.25"/>
    <row r="3847" s="1" customFormat="1" ht="15.95" customHeight="1" x14ac:dyDescent="0.25"/>
    <row r="3848" s="1" customFormat="1" ht="15.95" customHeight="1" x14ac:dyDescent="0.25"/>
    <row r="3849" s="1" customFormat="1" ht="15.95" customHeight="1" x14ac:dyDescent="0.25"/>
    <row r="3850" s="1" customFormat="1" ht="15.95" customHeight="1" x14ac:dyDescent="0.25"/>
    <row r="3851" s="1" customFormat="1" ht="15.95" customHeight="1" x14ac:dyDescent="0.25"/>
    <row r="3852" s="1" customFormat="1" ht="15.95" customHeight="1" x14ac:dyDescent="0.25"/>
    <row r="3853" s="1" customFormat="1" ht="15.95" customHeight="1" x14ac:dyDescent="0.25"/>
    <row r="3854" s="1" customFormat="1" ht="15.95" customHeight="1" x14ac:dyDescent="0.25"/>
    <row r="3855" s="1" customFormat="1" ht="15.95" customHeight="1" x14ac:dyDescent="0.25"/>
    <row r="3856" s="1" customFormat="1" ht="15.95" customHeight="1" x14ac:dyDescent="0.25"/>
    <row r="3857" s="1" customFormat="1" ht="15.95" customHeight="1" x14ac:dyDescent="0.25"/>
    <row r="3858" s="1" customFormat="1" ht="15.95" customHeight="1" x14ac:dyDescent="0.25"/>
    <row r="3859" s="1" customFormat="1" ht="15.95" customHeight="1" x14ac:dyDescent="0.25"/>
    <row r="3860" s="1" customFormat="1" ht="15.95" customHeight="1" x14ac:dyDescent="0.25"/>
    <row r="3861" s="1" customFormat="1" ht="15.95" customHeight="1" x14ac:dyDescent="0.25"/>
    <row r="3862" s="1" customFormat="1" ht="15.95" customHeight="1" x14ac:dyDescent="0.25"/>
    <row r="3863" s="1" customFormat="1" ht="15.95" customHeight="1" x14ac:dyDescent="0.25"/>
    <row r="3864" s="1" customFormat="1" ht="15.95" customHeight="1" x14ac:dyDescent="0.25"/>
    <row r="3865" s="1" customFormat="1" ht="15.95" customHeight="1" x14ac:dyDescent="0.25"/>
    <row r="3866" s="1" customFormat="1" ht="15.95" customHeight="1" x14ac:dyDescent="0.25"/>
    <row r="3867" s="1" customFormat="1" ht="15.95" customHeight="1" x14ac:dyDescent="0.25"/>
    <row r="3868" s="1" customFormat="1" ht="15.95" customHeight="1" x14ac:dyDescent="0.25"/>
    <row r="3869" s="1" customFormat="1" ht="15.95" customHeight="1" x14ac:dyDescent="0.25"/>
    <row r="3870" s="1" customFormat="1" ht="15.95" customHeight="1" x14ac:dyDescent="0.25"/>
    <row r="3871" s="1" customFormat="1" ht="15.95" customHeight="1" x14ac:dyDescent="0.25"/>
    <row r="3872" s="1" customFormat="1" ht="15.95" customHeight="1" x14ac:dyDescent="0.25"/>
    <row r="3873" s="1" customFormat="1" ht="15.95" customHeight="1" x14ac:dyDescent="0.25"/>
    <row r="3874" s="1" customFormat="1" ht="15.95" customHeight="1" x14ac:dyDescent="0.25"/>
    <row r="3875" s="1" customFormat="1" ht="15.95" customHeight="1" x14ac:dyDescent="0.25"/>
    <row r="3876" s="1" customFormat="1" ht="15.95" customHeight="1" x14ac:dyDescent="0.25"/>
    <row r="3877" s="1" customFormat="1" ht="15.95" customHeight="1" x14ac:dyDescent="0.25"/>
    <row r="3878" s="1" customFormat="1" ht="15.95" customHeight="1" x14ac:dyDescent="0.25"/>
    <row r="3879" s="1" customFormat="1" ht="15.95" customHeight="1" x14ac:dyDescent="0.25"/>
    <row r="3880" s="1" customFormat="1" ht="15.95" customHeight="1" x14ac:dyDescent="0.25"/>
    <row r="3881" s="1" customFormat="1" ht="15.95" customHeight="1" x14ac:dyDescent="0.25"/>
    <row r="3882" s="1" customFormat="1" ht="15.95" customHeight="1" x14ac:dyDescent="0.25"/>
    <row r="3883" s="1" customFormat="1" ht="15.95" customHeight="1" x14ac:dyDescent="0.25"/>
    <row r="3884" s="1" customFormat="1" ht="15.95" customHeight="1" x14ac:dyDescent="0.25"/>
    <row r="3885" s="1" customFormat="1" ht="15.95" customHeight="1" x14ac:dyDescent="0.25"/>
    <row r="3886" s="1" customFormat="1" ht="15.95" customHeight="1" x14ac:dyDescent="0.25"/>
    <row r="3887" s="1" customFormat="1" ht="15.95" customHeight="1" x14ac:dyDescent="0.25"/>
    <row r="3888" s="1" customFormat="1" ht="15.95" customHeight="1" x14ac:dyDescent="0.25"/>
    <row r="3889" s="1" customFormat="1" ht="15.95" customHeight="1" x14ac:dyDescent="0.25"/>
    <row r="3890" s="1" customFormat="1" ht="15.95" customHeight="1" x14ac:dyDescent="0.25"/>
    <row r="3891" s="1" customFormat="1" ht="15.95" customHeight="1" x14ac:dyDescent="0.25"/>
    <row r="3892" s="1" customFormat="1" ht="15.95" customHeight="1" x14ac:dyDescent="0.25"/>
    <row r="3893" s="1" customFormat="1" ht="15.95" customHeight="1" x14ac:dyDescent="0.25"/>
    <row r="3894" s="1" customFormat="1" ht="15.95" customHeight="1" x14ac:dyDescent="0.25"/>
    <row r="3895" s="1" customFormat="1" ht="15.95" customHeight="1" x14ac:dyDescent="0.25"/>
    <row r="3896" s="1" customFormat="1" ht="15.95" customHeight="1" x14ac:dyDescent="0.25"/>
    <row r="3897" s="1" customFormat="1" ht="15.95" customHeight="1" x14ac:dyDescent="0.25"/>
    <row r="3898" s="1" customFormat="1" ht="15.95" customHeight="1" x14ac:dyDescent="0.25"/>
    <row r="3899" s="1" customFormat="1" ht="15.95" customHeight="1" x14ac:dyDescent="0.25"/>
    <row r="3900" s="1" customFormat="1" ht="15.95" customHeight="1" x14ac:dyDescent="0.25"/>
    <row r="3901" s="1" customFormat="1" ht="15.95" customHeight="1" x14ac:dyDescent="0.25"/>
    <row r="3902" s="1" customFormat="1" ht="15.95" customHeight="1" x14ac:dyDescent="0.25"/>
    <row r="3903" s="1" customFormat="1" ht="15.95" customHeight="1" x14ac:dyDescent="0.25"/>
    <row r="3904" s="1" customFormat="1" ht="15.95" customHeight="1" x14ac:dyDescent="0.25"/>
    <row r="3905" s="1" customFormat="1" ht="15.95" customHeight="1" x14ac:dyDescent="0.25"/>
    <row r="3906" s="1" customFormat="1" ht="15.95" customHeight="1" x14ac:dyDescent="0.25"/>
    <row r="3907" s="1" customFormat="1" ht="15.95" customHeight="1" x14ac:dyDescent="0.25"/>
    <row r="3908" s="1" customFormat="1" ht="15.95" customHeight="1" x14ac:dyDescent="0.25"/>
    <row r="3909" s="1" customFormat="1" ht="15.95" customHeight="1" x14ac:dyDescent="0.25"/>
    <row r="3910" s="1" customFormat="1" ht="15.95" customHeight="1" x14ac:dyDescent="0.25"/>
    <row r="3911" s="1" customFormat="1" ht="15.95" customHeight="1" x14ac:dyDescent="0.25"/>
    <row r="3912" s="1" customFormat="1" ht="15.95" customHeight="1" x14ac:dyDescent="0.25"/>
    <row r="3913" s="1" customFormat="1" ht="15.95" customHeight="1" x14ac:dyDescent="0.25"/>
    <row r="3914" s="1" customFormat="1" ht="15.95" customHeight="1" x14ac:dyDescent="0.25"/>
    <row r="3915" s="1" customFormat="1" ht="15.95" customHeight="1" x14ac:dyDescent="0.25"/>
    <row r="3916" s="1" customFormat="1" ht="15.95" customHeight="1" x14ac:dyDescent="0.25"/>
    <row r="3917" s="1" customFormat="1" ht="15.95" customHeight="1" x14ac:dyDescent="0.25"/>
    <row r="3918" s="1" customFormat="1" ht="15.95" customHeight="1" x14ac:dyDescent="0.25"/>
    <row r="3919" s="1" customFormat="1" ht="15.95" customHeight="1" x14ac:dyDescent="0.25"/>
    <row r="3920" s="1" customFormat="1" ht="15.95" customHeight="1" x14ac:dyDescent="0.25"/>
    <row r="3921" s="1" customFormat="1" ht="15.95" customHeight="1" x14ac:dyDescent="0.25"/>
    <row r="3922" s="1" customFormat="1" ht="15.95" customHeight="1" x14ac:dyDescent="0.25"/>
    <row r="3923" s="1" customFormat="1" ht="15.95" customHeight="1" x14ac:dyDescent="0.25"/>
    <row r="3924" s="1" customFormat="1" ht="15.95" customHeight="1" x14ac:dyDescent="0.25"/>
    <row r="3925" s="1" customFormat="1" ht="15.95" customHeight="1" x14ac:dyDescent="0.25"/>
    <row r="3926" s="1" customFormat="1" ht="15.95" customHeight="1" x14ac:dyDescent="0.25"/>
    <row r="3927" s="1" customFormat="1" ht="15.95" customHeight="1" x14ac:dyDescent="0.25"/>
    <row r="3928" s="1" customFormat="1" ht="15.95" customHeight="1" x14ac:dyDescent="0.25"/>
    <row r="3929" s="1" customFormat="1" ht="15.95" customHeight="1" x14ac:dyDescent="0.25"/>
    <row r="3930" s="1" customFormat="1" ht="15.95" customHeight="1" x14ac:dyDescent="0.25"/>
    <row r="3931" s="1" customFormat="1" ht="15.95" customHeight="1" x14ac:dyDescent="0.25"/>
    <row r="3932" s="1" customFormat="1" ht="15.95" customHeight="1" x14ac:dyDescent="0.25"/>
    <row r="3933" s="1" customFormat="1" ht="15.95" customHeight="1" x14ac:dyDescent="0.25"/>
    <row r="3934" s="1" customFormat="1" ht="15.95" customHeight="1" x14ac:dyDescent="0.25"/>
    <row r="3935" s="1" customFormat="1" ht="15.95" customHeight="1" x14ac:dyDescent="0.25"/>
    <row r="3936" s="1" customFormat="1" ht="15.95" customHeight="1" x14ac:dyDescent="0.25"/>
    <row r="3937" s="1" customFormat="1" ht="15.95" customHeight="1" x14ac:dyDescent="0.25"/>
    <row r="3938" s="1" customFormat="1" ht="15.95" customHeight="1" x14ac:dyDescent="0.25"/>
    <row r="3939" s="1" customFormat="1" ht="15.95" customHeight="1" x14ac:dyDescent="0.25"/>
    <row r="3940" s="1" customFormat="1" ht="15.95" customHeight="1" x14ac:dyDescent="0.25"/>
    <row r="3941" s="1" customFormat="1" ht="15.95" customHeight="1" x14ac:dyDescent="0.25"/>
    <row r="3942" s="1" customFormat="1" ht="15.95" customHeight="1" x14ac:dyDescent="0.25"/>
    <row r="3943" s="1" customFormat="1" ht="15.95" customHeight="1" x14ac:dyDescent="0.25"/>
    <row r="3944" s="1" customFormat="1" ht="15.95" customHeight="1" x14ac:dyDescent="0.25"/>
    <row r="3945" s="1" customFormat="1" ht="15.95" customHeight="1" x14ac:dyDescent="0.25"/>
    <row r="3946" s="1" customFormat="1" ht="15.95" customHeight="1" x14ac:dyDescent="0.25"/>
    <row r="3947" s="1" customFormat="1" ht="15.95" customHeight="1" x14ac:dyDescent="0.25"/>
    <row r="3948" s="1" customFormat="1" ht="15.95" customHeight="1" x14ac:dyDescent="0.25"/>
    <row r="3949" s="1" customFormat="1" ht="15.95" customHeight="1" x14ac:dyDescent="0.25"/>
    <row r="3950" s="1" customFormat="1" ht="15.95" customHeight="1" x14ac:dyDescent="0.25"/>
    <row r="3951" s="1" customFormat="1" ht="15.95" customHeight="1" x14ac:dyDescent="0.25"/>
    <row r="3952" s="1" customFormat="1" ht="15.95" customHeight="1" x14ac:dyDescent="0.25"/>
    <row r="3953" s="1" customFormat="1" ht="15.95" customHeight="1" x14ac:dyDescent="0.25"/>
    <row r="3954" s="1" customFormat="1" ht="15.95" customHeight="1" x14ac:dyDescent="0.25"/>
    <row r="3955" s="1" customFormat="1" ht="15.95" customHeight="1" x14ac:dyDescent="0.25"/>
    <row r="3956" s="1" customFormat="1" ht="15.95" customHeight="1" x14ac:dyDescent="0.25"/>
    <row r="3957" s="1" customFormat="1" ht="15.95" customHeight="1" x14ac:dyDescent="0.25"/>
    <row r="3958" s="1" customFormat="1" ht="15.95" customHeight="1" x14ac:dyDescent="0.25"/>
    <row r="3959" s="1" customFormat="1" ht="15.95" customHeight="1" x14ac:dyDescent="0.25"/>
    <row r="3960" s="1" customFormat="1" ht="15.95" customHeight="1" x14ac:dyDescent="0.25"/>
    <row r="3961" s="1" customFormat="1" ht="15.95" customHeight="1" x14ac:dyDescent="0.25"/>
    <row r="3962" s="1" customFormat="1" ht="15.95" customHeight="1" x14ac:dyDescent="0.25"/>
    <row r="3963" s="1" customFormat="1" ht="15.95" customHeight="1" x14ac:dyDescent="0.25"/>
    <row r="3964" s="1" customFormat="1" ht="15.95" customHeight="1" x14ac:dyDescent="0.25"/>
    <row r="3965" s="1" customFormat="1" ht="15.95" customHeight="1" x14ac:dyDescent="0.25"/>
    <row r="3966" s="1" customFormat="1" ht="15.95" customHeight="1" x14ac:dyDescent="0.25"/>
    <row r="3967" s="1" customFormat="1" ht="15.95" customHeight="1" x14ac:dyDescent="0.25"/>
    <row r="3968" s="1" customFormat="1" ht="15.95" customHeight="1" x14ac:dyDescent="0.25"/>
    <row r="3969" s="1" customFormat="1" ht="15.95" customHeight="1" x14ac:dyDescent="0.25"/>
    <row r="3970" s="1" customFormat="1" ht="15.95" customHeight="1" x14ac:dyDescent="0.25"/>
    <row r="3971" s="1" customFormat="1" ht="15.95" customHeight="1" x14ac:dyDescent="0.25"/>
    <row r="3972" s="1" customFormat="1" ht="15.95" customHeight="1" x14ac:dyDescent="0.25"/>
    <row r="3973" s="1" customFormat="1" ht="15.95" customHeight="1" x14ac:dyDescent="0.25"/>
    <row r="3974" s="1" customFormat="1" ht="15.95" customHeight="1" x14ac:dyDescent="0.25"/>
    <row r="3975" s="1" customFormat="1" ht="15.95" customHeight="1" x14ac:dyDescent="0.25"/>
    <row r="3976" s="1" customFormat="1" ht="15.95" customHeight="1" x14ac:dyDescent="0.25"/>
    <row r="3977" s="1" customFormat="1" ht="15.95" customHeight="1" x14ac:dyDescent="0.25"/>
    <row r="3978" s="1" customFormat="1" ht="15.95" customHeight="1" x14ac:dyDescent="0.25"/>
    <row r="3979" s="1" customFormat="1" ht="15.95" customHeight="1" x14ac:dyDescent="0.25"/>
    <row r="3980" s="1" customFormat="1" ht="15.95" customHeight="1" x14ac:dyDescent="0.25"/>
    <row r="3981" s="1" customFormat="1" ht="15.95" customHeight="1" x14ac:dyDescent="0.25"/>
    <row r="3982" s="1" customFormat="1" ht="15.95" customHeight="1" x14ac:dyDescent="0.25"/>
    <row r="3983" s="1" customFormat="1" ht="15.95" customHeight="1" x14ac:dyDescent="0.25"/>
    <row r="3984" s="1" customFormat="1" ht="15.95" customHeight="1" x14ac:dyDescent="0.25"/>
    <row r="3985" s="1" customFormat="1" ht="15.95" customHeight="1" x14ac:dyDescent="0.25"/>
    <row r="3986" s="1" customFormat="1" ht="15.95" customHeight="1" x14ac:dyDescent="0.25"/>
    <row r="3987" s="1" customFormat="1" ht="15.95" customHeight="1" x14ac:dyDescent="0.25"/>
    <row r="3988" s="1" customFormat="1" ht="15.95" customHeight="1" x14ac:dyDescent="0.25"/>
    <row r="3989" s="1" customFormat="1" ht="15.95" customHeight="1" x14ac:dyDescent="0.25"/>
    <row r="3990" s="1" customFormat="1" ht="15.95" customHeight="1" x14ac:dyDescent="0.25"/>
    <row r="3991" s="1" customFormat="1" ht="15.95" customHeight="1" x14ac:dyDescent="0.25"/>
    <row r="3992" s="1" customFormat="1" ht="15.95" customHeight="1" x14ac:dyDescent="0.25"/>
    <row r="3993" s="1" customFormat="1" ht="15.95" customHeight="1" x14ac:dyDescent="0.25"/>
    <row r="3994" s="1" customFormat="1" ht="15.95" customHeight="1" x14ac:dyDescent="0.25"/>
    <row r="3995" s="1" customFormat="1" ht="15.95" customHeight="1" x14ac:dyDescent="0.25"/>
    <row r="3996" s="1" customFormat="1" ht="15.95" customHeight="1" x14ac:dyDescent="0.25"/>
    <row r="3997" s="1" customFormat="1" ht="15.95" customHeight="1" x14ac:dyDescent="0.25"/>
    <row r="3998" s="1" customFormat="1" ht="15.95" customHeight="1" x14ac:dyDescent="0.25"/>
    <row r="3999" s="1" customFormat="1" ht="15.95" customHeight="1" x14ac:dyDescent="0.25"/>
    <row r="4000" s="1" customFormat="1" ht="15.95" customHeight="1" x14ac:dyDescent="0.25"/>
    <row r="4001" s="1" customFormat="1" ht="15.95" customHeight="1" x14ac:dyDescent="0.25"/>
    <row r="4002" s="1" customFormat="1" ht="15.95" customHeight="1" x14ac:dyDescent="0.25"/>
    <row r="4003" s="1" customFormat="1" ht="15.95" customHeight="1" x14ac:dyDescent="0.25"/>
    <row r="4004" s="1" customFormat="1" ht="15.95" customHeight="1" x14ac:dyDescent="0.25"/>
    <row r="4005" s="1" customFormat="1" ht="15.95" customHeight="1" x14ac:dyDescent="0.25"/>
    <row r="4006" s="1" customFormat="1" ht="15.95" customHeight="1" x14ac:dyDescent="0.25"/>
    <row r="4007" s="1" customFormat="1" ht="15.95" customHeight="1" x14ac:dyDescent="0.25"/>
    <row r="4008" s="1" customFormat="1" ht="15.95" customHeight="1" x14ac:dyDescent="0.25"/>
    <row r="4009" s="1" customFormat="1" ht="15.95" customHeight="1" x14ac:dyDescent="0.25"/>
    <row r="4010" s="1" customFormat="1" ht="15.95" customHeight="1" x14ac:dyDescent="0.25"/>
    <row r="4011" s="1" customFormat="1" ht="15.95" customHeight="1" x14ac:dyDescent="0.25"/>
    <row r="4012" s="1" customFormat="1" ht="15.95" customHeight="1" x14ac:dyDescent="0.25"/>
    <row r="4013" s="1" customFormat="1" ht="15.95" customHeight="1" x14ac:dyDescent="0.25"/>
    <row r="4014" s="1" customFormat="1" ht="15.95" customHeight="1" x14ac:dyDescent="0.25"/>
    <row r="4015" s="1" customFormat="1" ht="15.95" customHeight="1" x14ac:dyDescent="0.25"/>
    <row r="4016" s="1" customFormat="1" ht="15.95" customHeight="1" x14ac:dyDescent="0.25"/>
    <row r="4017" s="1" customFormat="1" ht="15.95" customHeight="1" x14ac:dyDescent="0.25"/>
    <row r="4018" s="1" customFormat="1" ht="15.95" customHeight="1" x14ac:dyDescent="0.25"/>
    <row r="4019" s="1" customFormat="1" ht="15.95" customHeight="1" x14ac:dyDescent="0.25"/>
    <row r="4020" s="1" customFormat="1" ht="15.95" customHeight="1" x14ac:dyDescent="0.25"/>
    <row r="4021" s="1" customFormat="1" ht="15.95" customHeight="1" x14ac:dyDescent="0.25"/>
    <row r="4022" s="1" customFormat="1" ht="15.95" customHeight="1" x14ac:dyDescent="0.25"/>
    <row r="4023" s="1" customFormat="1" ht="15.95" customHeight="1" x14ac:dyDescent="0.25"/>
    <row r="4024" s="1" customFormat="1" ht="15.95" customHeight="1" x14ac:dyDescent="0.25"/>
    <row r="4025" s="1" customFormat="1" ht="15.95" customHeight="1" x14ac:dyDescent="0.25"/>
    <row r="4026" s="1" customFormat="1" ht="15.95" customHeight="1" x14ac:dyDescent="0.25"/>
    <row r="4027" s="1" customFormat="1" ht="15.95" customHeight="1" x14ac:dyDescent="0.25"/>
    <row r="4028" s="1" customFormat="1" ht="15.95" customHeight="1" x14ac:dyDescent="0.25"/>
    <row r="4029" s="1" customFormat="1" ht="15.95" customHeight="1" x14ac:dyDescent="0.25"/>
    <row r="4030" s="1" customFormat="1" ht="15.95" customHeight="1" x14ac:dyDescent="0.25"/>
    <row r="4031" s="1" customFormat="1" ht="15.95" customHeight="1" x14ac:dyDescent="0.25"/>
    <row r="4032" s="1" customFormat="1" ht="15.95" customHeight="1" x14ac:dyDescent="0.25"/>
    <row r="4033" s="1" customFormat="1" ht="15.95" customHeight="1" x14ac:dyDescent="0.25"/>
    <row r="4034" s="1" customFormat="1" ht="15.95" customHeight="1" x14ac:dyDescent="0.25"/>
    <row r="4035" s="1" customFormat="1" ht="15.95" customHeight="1" x14ac:dyDescent="0.25"/>
    <row r="4036" s="1" customFormat="1" ht="15.95" customHeight="1" x14ac:dyDescent="0.25"/>
    <row r="4037" s="1" customFormat="1" ht="15.95" customHeight="1" x14ac:dyDescent="0.25"/>
    <row r="4038" s="1" customFormat="1" ht="15.95" customHeight="1" x14ac:dyDescent="0.25"/>
    <row r="4039" s="1" customFormat="1" ht="15.95" customHeight="1" x14ac:dyDescent="0.25"/>
    <row r="4040" s="1" customFormat="1" ht="15.95" customHeight="1" x14ac:dyDescent="0.25"/>
    <row r="4041" s="1" customFormat="1" ht="15.95" customHeight="1" x14ac:dyDescent="0.25"/>
    <row r="4042" s="1" customFormat="1" ht="15.95" customHeight="1" x14ac:dyDescent="0.25"/>
    <row r="4043" s="1" customFormat="1" ht="15.95" customHeight="1" x14ac:dyDescent="0.25"/>
    <row r="4044" s="1" customFormat="1" ht="15.95" customHeight="1" x14ac:dyDescent="0.25"/>
    <row r="4045" s="1" customFormat="1" ht="15.95" customHeight="1" x14ac:dyDescent="0.25"/>
    <row r="4046" s="1" customFormat="1" ht="15.95" customHeight="1" x14ac:dyDescent="0.25"/>
    <row r="4047" s="1" customFormat="1" ht="15.95" customHeight="1" x14ac:dyDescent="0.25"/>
    <row r="4048" s="1" customFormat="1" ht="15.95" customHeight="1" x14ac:dyDescent="0.25"/>
    <row r="4049" s="1" customFormat="1" ht="15.95" customHeight="1" x14ac:dyDescent="0.25"/>
    <row r="4050" s="1" customFormat="1" ht="15.95" customHeight="1" x14ac:dyDescent="0.25"/>
    <row r="4051" s="1" customFormat="1" ht="15.95" customHeight="1" x14ac:dyDescent="0.25"/>
    <row r="4052" s="1" customFormat="1" ht="15.95" customHeight="1" x14ac:dyDescent="0.25"/>
    <row r="4053" s="1" customFormat="1" ht="15.95" customHeight="1" x14ac:dyDescent="0.25"/>
    <row r="4054" s="1" customFormat="1" ht="15.95" customHeight="1" x14ac:dyDescent="0.25"/>
    <row r="4055" s="1" customFormat="1" ht="15.95" customHeight="1" x14ac:dyDescent="0.25"/>
    <row r="4056" s="1" customFormat="1" ht="15.95" customHeight="1" x14ac:dyDescent="0.25"/>
    <row r="4057" s="1" customFormat="1" ht="15.95" customHeight="1" x14ac:dyDescent="0.25"/>
    <row r="4058" s="1" customFormat="1" ht="15.95" customHeight="1" x14ac:dyDescent="0.25"/>
    <row r="4059" s="1" customFormat="1" ht="15.95" customHeight="1" x14ac:dyDescent="0.25"/>
    <row r="4060" s="1" customFormat="1" ht="15.95" customHeight="1" x14ac:dyDescent="0.25"/>
    <row r="4061" s="1" customFormat="1" ht="15.95" customHeight="1" x14ac:dyDescent="0.25"/>
    <row r="4062" s="1" customFormat="1" ht="15.95" customHeight="1" x14ac:dyDescent="0.25"/>
    <row r="4063" s="1" customFormat="1" ht="15.95" customHeight="1" x14ac:dyDescent="0.25"/>
    <row r="4064" s="1" customFormat="1" ht="15.95" customHeight="1" x14ac:dyDescent="0.25"/>
    <row r="4065" s="1" customFormat="1" ht="15.95" customHeight="1" x14ac:dyDescent="0.25"/>
    <row r="4066" s="1" customFormat="1" ht="15.95" customHeight="1" x14ac:dyDescent="0.25"/>
    <row r="4067" s="1" customFormat="1" ht="15.95" customHeight="1" x14ac:dyDescent="0.25"/>
    <row r="4068" s="1" customFormat="1" ht="15.95" customHeight="1" x14ac:dyDescent="0.25"/>
    <row r="4069" s="1" customFormat="1" ht="15.95" customHeight="1" x14ac:dyDescent="0.25"/>
    <row r="4070" s="1" customFormat="1" ht="15.95" customHeight="1" x14ac:dyDescent="0.25"/>
    <row r="4071" s="1" customFormat="1" ht="15.95" customHeight="1" x14ac:dyDescent="0.25"/>
    <row r="4072" s="1" customFormat="1" ht="15.95" customHeight="1" x14ac:dyDescent="0.25"/>
    <row r="4073" s="1" customFormat="1" ht="15.95" customHeight="1" x14ac:dyDescent="0.25"/>
    <row r="4074" s="1" customFormat="1" ht="15.95" customHeight="1" x14ac:dyDescent="0.25"/>
    <row r="4075" s="1" customFormat="1" ht="15.95" customHeight="1" x14ac:dyDescent="0.25"/>
    <row r="4076" s="1" customFormat="1" ht="15.95" customHeight="1" x14ac:dyDescent="0.25"/>
    <row r="4077" s="1" customFormat="1" ht="15.95" customHeight="1" x14ac:dyDescent="0.25"/>
    <row r="4078" s="1" customFormat="1" ht="15.95" customHeight="1" x14ac:dyDescent="0.25"/>
    <row r="4079" s="1" customFormat="1" ht="15.95" customHeight="1" x14ac:dyDescent="0.25"/>
    <row r="4080" s="1" customFormat="1" ht="15.95" customHeight="1" x14ac:dyDescent="0.25"/>
    <row r="4081" s="1" customFormat="1" ht="15.95" customHeight="1" x14ac:dyDescent="0.25"/>
    <row r="4082" s="1" customFormat="1" ht="15.95" customHeight="1" x14ac:dyDescent="0.25"/>
    <row r="4083" s="1" customFormat="1" ht="15.95" customHeight="1" x14ac:dyDescent="0.25"/>
    <row r="4084" s="1" customFormat="1" ht="15.95" customHeight="1" x14ac:dyDescent="0.25"/>
    <row r="4085" s="1" customFormat="1" ht="15.95" customHeight="1" x14ac:dyDescent="0.25"/>
    <row r="4086" s="1" customFormat="1" ht="15.95" customHeight="1" x14ac:dyDescent="0.25"/>
    <row r="4087" s="1" customFormat="1" ht="15.95" customHeight="1" x14ac:dyDescent="0.25"/>
    <row r="4088" s="1" customFormat="1" ht="15.95" customHeight="1" x14ac:dyDescent="0.25"/>
    <row r="4089" s="1" customFormat="1" ht="15.95" customHeight="1" x14ac:dyDescent="0.25"/>
    <row r="4090" s="1" customFormat="1" ht="15.95" customHeight="1" x14ac:dyDescent="0.25"/>
    <row r="4091" s="1" customFormat="1" ht="15.95" customHeight="1" x14ac:dyDescent="0.25"/>
    <row r="4092" s="1" customFormat="1" ht="15.95" customHeight="1" x14ac:dyDescent="0.25"/>
    <row r="4093" s="1" customFormat="1" ht="15.95" customHeight="1" x14ac:dyDescent="0.25"/>
    <row r="4094" s="1" customFormat="1" ht="15.95" customHeight="1" x14ac:dyDescent="0.25"/>
    <row r="4095" s="1" customFormat="1" ht="15.95" customHeight="1" x14ac:dyDescent="0.25"/>
    <row r="4096" s="1" customFormat="1" ht="15.95" customHeight="1" x14ac:dyDescent="0.25"/>
    <row r="4097" s="1" customFormat="1" ht="15.95" customHeight="1" x14ac:dyDescent="0.25"/>
    <row r="4098" s="1" customFormat="1" ht="15.95" customHeight="1" x14ac:dyDescent="0.25"/>
    <row r="4099" s="1" customFormat="1" ht="15.95" customHeight="1" x14ac:dyDescent="0.25"/>
    <row r="4100" s="1" customFormat="1" ht="15.95" customHeight="1" x14ac:dyDescent="0.25"/>
    <row r="4101" s="1" customFormat="1" ht="15.95" customHeight="1" x14ac:dyDescent="0.25"/>
    <row r="4102" s="1" customFormat="1" ht="15.95" customHeight="1" x14ac:dyDescent="0.25"/>
    <row r="4103" s="1" customFormat="1" ht="15.95" customHeight="1" x14ac:dyDescent="0.25"/>
    <row r="4104" s="1" customFormat="1" ht="15.95" customHeight="1" x14ac:dyDescent="0.25"/>
    <row r="4105" s="1" customFormat="1" ht="15.95" customHeight="1" x14ac:dyDescent="0.25"/>
    <row r="4106" s="1" customFormat="1" ht="15.95" customHeight="1" x14ac:dyDescent="0.25"/>
    <row r="4107" s="1" customFormat="1" ht="15.95" customHeight="1" x14ac:dyDescent="0.25"/>
    <row r="4108" s="1" customFormat="1" ht="15.95" customHeight="1" x14ac:dyDescent="0.25"/>
    <row r="4109" s="1" customFormat="1" ht="15.95" customHeight="1" x14ac:dyDescent="0.25"/>
    <row r="4110" s="1" customFormat="1" ht="15.95" customHeight="1" x14ac:dyDescent="0.25"/>
    <row r="4111" s="1" customFormat="1" ht="15.95" customHeight="1" x14ac:dyDescent="0.25"/>
    <row r="4112" s="1" customFormat="1" ht="15.95" customHeight="1" x14ac:dyDescent="0.25"/>
    <row r="4113" s="1" customFormat="1" ht="15.95" customHeight="1" x14ac:dyDescent="0.25"/>
    <row r="4114" s="1" customFormat="1" ht="15.95" customHeight="1" x14ac:dyDescent="0.25"/>
    <row r="4115" s="1" customFormat="1" ht="15.95" customHeight="1" x14ac:dyDescent="0.25"/>
    <row r="4116" s="1" customFormat="1" ht="15.95" customHeight="1" x14ac:dyDescent="0.25"/>
    <row r="4117" s="1" customFormat="1" ht="15.95" customHeight="1" x14ac:dyDescent="0.25"/>
    <row r="4118" s="1" customFormat="1" ht="15.95" customHeight="1" x14ac:dyDescent="0.25"/>
    <row r="4119" s="1" customFormat="1" ht="15.95" customHeight="1" x14ac:dyDescent="0.25"/>
    <row r="4120" s="1" customFormat="1" ht="15.95" customHeight="1" x14ac:dyDescent="0.25"/>
    <row r="4121" s="1" customFormat="1" ht="15.95" customHeight="1" x14ac:dyDescent="0.25"/>
    <row r="4122" s="1" customFormat="1" ht="15.95" customHeight="1" x14ac:dyDescent="0.25"/>
    <row r="4123" s="1" customFormat="1" ht="15.95" customHeight="1" x14ac:dyDescent="0.25"/>
    <row r="4124" s="1" customFormat="1" ht="15.95" customHeight="1" x14ac:dyDescent="0.25"/>
    <row r="4125" s="1" customFormat="1" ht="15.95" customHeight="1" x14ac:dyDescent="0.25"/>
    <row r="4126" s="1" customFormat="1" ht="15.95" customHeight="1" x14ac:dyDescent="0.25"/>
    <row r="4127" s="1" customFormat="1" ht="15.95" customHeight="1" x14ac:dyDescent="0.25"/>
    <row r="4128" s="1" customFormat="1" ht="15.95" customHeight="1" x14ac:dyDescent="0.25"/>
    <row r="4129" s="1" customFormat="1" ht="15.95" customHeight="1" x14ac:dyDescent="0.25"/>
    <row r="4130" s="1" customFormat="1" ht="15.95" customHeight="1" x14ac:dyDescent="0.25"/>
    <row r="4131" s="1" customFormat="1" ht="15.95" customHeight="1" x14ac:dyDescent="0.25"/>
    <row r="4132" s="1" customFormat="1" ht="15.95" customHeight="1" x14ac:dyDescent="0.25"/>
    <row r="4133" s="1" customFormat="1" ht="15.95" customHeight="1" x14ac:dyDescent="0.25"/>
    <row r="4134" s="1" customFormat="1" ht="15.95" customHeight="1" x14ac:dyDescent="0.25"/>
    <row r="4135" s="1" customFormat="1" ht="15.95" customHeight="1" x14ac:dyDescent="0.25"/>
    <row r="4136" s="1" customFormat="1" ht="15.95" customHeight="1" x14ac:dyDescent="0.25"/>
    <row r="4137" s="1" customFormat="1" ht="15.95" customHeight="1" x14ac:dyDescent="0.25"/>
    <row r="4138" s="1" customFormat="1" ht="15.95" customHeight="1" x14ac:dyDescent="0.25"/>
    <row r="4139" s="1" customFormat="1" ht="15.95" customHeight="1" x14ac:dyDescent="0.25"/>
    <row r="4140" s="1" customFormat="1" ht="15.95" customHeight="1" x14ac:dyDescent="0.25"/>
    <row r="4141" s="1" customFormat="1" ht="15.95" customHeight="1" x14ac:dyDescent="0.25"/>
    <row r="4142" s="1" customFormat="1" ht="15.95" customHeight="1" x14ac:dyDescent="0.25"/>
    <row r="4143" s="1" customFormat="1" ht="15.95" customHeight="1" x14ac:dyDescent="0.25"/>
    <row r="4144" s="1" customFormat="1" ht="15.95" customHeight="1" x14ac:dyDescent="0.25"/>
    <row r="4145" s="1" customFormat="1" ht="15.95" customHeight="1" x14ac:dyDescent="0.25"/>
    <row r="4146" s="1" customFormat="1" ht="15.95" customHeight="1" x14ac:dyDescent="0.25"/>
    <row r="4147" s="1" customFormat="1" ht="15.95" customHeight="1" x14ac:dyDescent="0.25"/>
    <row r="4148" s="1" customFormat="1" ht="15.95" customHeight="1" x14ac:dyDescent="0.25"/>
    <row r="4149" s="1" customFormat="1" ht="15.95" customHeight="1" x14ac:dyDescent="0.25"/>
    <row r="4150" s="1" customFormat="1" ht="15.95" customHeight="1" x14ac:dyDescent="0.25"/>
    <row r="4151" s="1" customFormat="1" ht="15.95" customHeight="1" x14ac:dyDescent="0.25"/>
    <row r="4152" s="1" customFormat="1" ht="15.95" customHeight="1" x14ac:dyDescent="0.25"/>
    <row r="4153" s="1" customFormat="1" ht="15.95" customHeight="1" x14ac:dyDescent="0.25"/>
    <row r="4154" s="1" customFormat="1" ht="15.95" customHeight="1" x14ac:dyDescent="0.25"/>
    <row r="4155" s="1" customFormat="1" ht="15.95" customHeight="1" x14ac:dyDescent="0.25"/>
    <row r="4156" s="1" customFormat="1" ht="15.95" customHeight="1" x14ac:dyDescent="0.25"/>
    <row r="4157" s="1" customFormat="1" ht="15.95" customHeight="1" x14ac:dyDescent="0.25"/>
    <row r="4158" s="1" customFormat="1" ht="15.95" customHeight="1" x14ac:dyDescent="0.25"/>
    <row r="4159" s="1" customFormat="1" ht="15.95" customHeight="1" x14ac:dyDescent="0.25"/>
    <row r="4160" s="1" customFormat="1" ht="15.95" customHeight="1" x14ac:dyDescent="0.25"/>
    <row r="4161" s="1" customFormat="1" ht="15.95" customHeight="1" x14ac:dyDescent="0.25"/>
    <row r="4162" s="1" customFormat="1" ht="15.95" customHeight="1" x14ac:dyDescent="0.25"/>
    <row r="4163" s="1" customFormat="1" ht="15.95" customHeight="1" x14ac:dyDescent="0.25"/>
    <row r="4164" s="1" customFormat="1" ht="15.95" customHeight="1" x14ac:dyDescent="0.25"/>
    <row r="4165" s="1" customFormat="1" ht="15.95" customHeight="1" x14ac:dyDescent="0.25"/>
    <row r="4166" s="1" customFormat="1" ht="15.95" customHeight="1" x14ac:dyDescent="0.25"/>
    <row r="4167" s="1" customFormat="1" ht="15.95" customHeight="1" x14ac:dyDescent="0.25"/>
    <row r="4168" s="1" customFormat="1" ht="15.95" customHeight="1" x14ac:dyDescent="0.25"/>
    <row r="4169" s="1" customFormat="1" ht="15.95" customHeight="1" x14ac:dyDescent="0.25"/>
    <row r="4170" s="1" customFormat="1" ht="15.95" customHeight="1" x14ac:dyDescent="0.25"/>
    <row r="4171" s="1" customFormat="1" ht="15.95" customHeight="1" x14ac:dyDescent="0.25"/>
    <row r="4172" s="1" customFormat="1" ht="15.95" customHeight="1" x14ac:dyDescent="0.25"/>
    <row r="4173" s="1" customFormat="1" ht="15.95" customHeight="1" x14ac:dyDescent="0.25"/>
    <row r="4174" s="1" customFormat="1" ht="15.95" customHeight="1" x14ac:dyDescent="0.25"/>
    <row r="4175" s="1" customFormat="1" ht="15.95" customHeight="1" x14ac:dyDescent="0.25"/>
    <row r="4176" s="1" customFormat="1" ht="15.95" customHeight="1" x14ac:dyDescent="0.25"/>
    <row r="4177" s="1" customFormat="1" ht="15.95" customHeight="1" x14ac:dyDescent="0.25"/>
    <row r="4178" s="1" customFormat="1" ht="15.95" customHeight="1" x14ac:dyDescent="0.25"/>
    <row r="4179" s="1" customFormat="1" ht="15.95" customHeight="1" x14ac:dyDescent="0.25"/>
    <row r="4180" s="1" customFormat="1" ht="15.95" customHeight="1" x14ac:dyDescent="0.25"/>
    <row r="4181" s="1" customFormat="1" ht="15.95" customHeight="1" x14ac:dyDescent="0.25"/>
    <row r="4182" s="1" customFormat="1" ht="15.95" customHeight="1" x14ac:dyDescent="0.25"/>
    <row r="4183" s="1" customFormat="1" ht="15.95" customHeight="1" x14ac:dyDescent="0.25"/>
    <row r="4184" s="1" customFormat="1" ht="15.95" customHeight="1" x14ac:dyDescent="0.25"/>
    <row r="4185" s="1" customFormat="1" ht="15.95" customHeight="1" x14ac:dyDescent="0.25"/>
    <row r="4186" s="1" customFormat="1" ht="15.95" customHeight="1" x14ac:dyDescent="0.25"/>
    <row r="4187" s="1" customFormat="1" ht="15.95" customHeight="1" x14ac:dyDescent="0.25"/>
    <row r="4188" s="1" customFormat="1" ht="15.95" customHeight="1" x14ac:dyDescent="0.25"/>
    <row r="4189" s="1" customFormat="1" ht="15.95" customHeight="1" x14ac:dyDescent="0.25"/>
    <row r="4190" s="1" customFormat="1" ht="15.95" customHeight="1" x14ac:dyDescent="0.25"/>
    <row r="4191" s="1" customFormat="1" ht="15.95" customHeight="1" x14ac:dyDescent="0.25"/>
    <row r="4192" s="1" customFormat="1" ht="15.95" customHeight="1" x14ac:dyDescent="0.25"/>
    <row r="4193" s="1" customFormat="1" ht="15.95" customHeight="1" x14ac:dyDescent="0.25"/>
    <row r="4194" s="1" customFormat="1" ht="15.95" customHeight="1" x14ac:dyDescent="0.25"/>
    <row r="4195" s="1" customFormat="1" ht="15.95" customHeight="1" x14ac:dyDescent="0.25"/>
    <row r="4196" s="1" customFormat="1" ht="15.95" customHeight="1" x14ac:dyDescent="0.25"/>
    <row r="4197" s="1" customFormat="1" ht="15.95" customHeight="1" x14ac:dyDescent="0.25"/>
    <row r="4198" s="1" customFormat="1" ht="15.95" customHeight="1" x14ac:dyDescent="0.25"/>
    <row r="4199" s="1" customFormat="1" ht="15.95" customHeight="1" x14ac:dyDescent="0.25"/>
    <row r="4200" s="1" customFormat="1" ht="15.95" customHeight="1" x14ac:dyDescent="0.25"/>
    <row r="4201" s="1" customFormat="1" ht="15.95" customHeight="1" x14ac:dyDescent="0.25"/>
    <row r="4202" s="1" customFormat="1" ht="15.95" customHeight="1" x14ac:dyDescent="0.25"/>
    <row r="4203" s="1" customFormat="1" ht="15.95" customHeight="1" x14ac:dyDescent="0.25"/>
    <row r="4204" s="1" customFormat="1" ht="15.95" customHeight="1" x14ac:dyDescent="0.25"/>
    <row r="4205" s="1" customFormat="1" ht="15.95" customHeight="1" x14ac:dyDescent="0.25"/>
    <row r="4206" s="1" customFormat="1" ht="15.95" customHeight="1" x14ac:dyDescent="0.25"/>
    <row r="4207" s="1" customFormat="1" ht="15.95" customHeight="1" x14ac:dyDescent="0.25"/>
    <row r="4208" s="1" customFormat="1" ht="15.95" customHeight="1" x14ac:dyDescent="0.25"/>
    <row r="4209" s="1" customFormat="1" ht="15.95" customHeight="1" x14ac:dyDescent="0.25"/>
    <row r="4210" s="1" customFormat="1" ht="15.95" customHeight="1" x14ac:dyDescent="0.25"/>
    <row r="4211" s="1" customFormat="1" ht="15.95" customHeight="1" x14ac:dyDescent="0.25"/>
    <row r="4212" s="1" customFormat="1" ht="15.95" customHeight="1" x14ac:dyDescent="0.25"/>
    <row r="4213" s="1" customFormat="1" ht="15.95" customHeight="1" x14ac:dyDescent="0.25"/>
    <row r="4214" s="1" customFormat="1" ht="15.95" customHeight="1" x14ac:dyDescent="0.25"/>
    <row r="4215" s="1" customFormat="1" ht="15.95" customHeight="1" x14ac:dyDescent="0.25"/>
    <row r="4216" s="1" customFormat="1" ht="15.95" customHeight="1" x14ac:dyDescent="0.25"/>
    <row r="4217" s="1" customFormat="1" ht="15.95" customHeight="1" x14ac:dyDescent="0.25"/>
    <row r="4218" s="1" customFormat="1" ht="15.95" customHeight="1" x14ac:dyDescent="0.25"/>
    <row r="4219" s="1" customFormat="1" ht="15.95" customHeight="1" x14ac:dyDescent="0.25"/>
    <row r="4220" s="1" customFormat="1" ht="15.95" customHeight="1" x14ac:dyDescent="0.25"/>
    <row r="4221" s="1" customFormat="1" ht="15.95" customHeight="1" x14ac:dyDescent="0.25"/>
    <row r="4222" s="1" customFormat="1" ht="15.95" customHeight="1" x14ac:dyDescent="0.25"/>
    <row r="4223" s="1" customFormat="1" ht="15.95" customHeight="1" x14ac:dyDescent="0.25"/>
    <row r="4224" s="1" customFormat="1" ht="15.95" customHeight="1" x14ac:dyDescent="0.25"/>
    <row r="4225" s="1" customFormat="1" ht="15.95" customHeight="1" x14ac:dyDescent="0.25"/>
    <row r="4226" s="1" customFormat="1" ht="15.95" customHeight="1" x14ac:dyDescent="0.25"/>
    <row r="4227" s="1" customFormat="1" ht="15.95" customHeight="1" x14ac:dyDescent="0.25"/>
    <row r="4228" s="1" customFormat="1" ht="15.95" customHeight="1" x14ac:dyDescent="0.25"/>
    <row r="4229" s="1" customFormat="1" ht="15.95" customHeight="1" x14ac:dyDescent="0.25"/>
    <row r="4230" s="1" customFormat="1" ht="15.95" customHeight="1" x14ac:dyDescent="0.25"/>
    <row r="4231" s="1" customFormat="1" ht="15.95" customHeight="1" x14ac:dyDescent="0.25"/>
    <row r="4232" s="1" customFormat="1" ht="15.95" customHeight="1" x14ac:dyDescent="0.25"/>
    <row r="4233" s="1" customFormat="1" ht="15.95" customHeight="1" x14ac:dyDescent="0.25"/>
    <row r="4234" s="1" customFormat="1" ht="15.95" customHeight="1" x14ac:dyDescent="0.25"/>
    <row r="4235" s="1" customFormat="1" ht="15.95" customHeight="1" x14ac:dyDescent="0.25"/>
    <row r="4236" s="1" customFormat="1" ht="15.95" customHeight="1" x14ac:dyDescent="0.25"/>
    <row r="4237" s="1" customFormat="1" ht="15.95" customHeight="1" x14ac:dyDescent="0.25"/>
    <row r="4238" s="1" customFormat="1" ht="15.95" customHeight="1" x14ac:dyDescent="0.25"/>
    <row r="4239" s="1" customFormat="1" ht="15.95" customHeight="1" x14ac:dyDescent="0.25"/>
    <row r="4240" s="1" customFormat="1" ht="15.95" customHeight="1" x14ac:dyDescent="0.25"/>
    <row r="4241" s="1" customFormat="1" ht="15.95" customHeight="1" x14ac:dyDescent="0.25"/>
    <row r="4242" s="1" customFormat="1" ht="15.95" customHeight="1" x14ac:dyDescent="0.25"/>
    <row r="4243" s="1" customFormat="1" ht="15.95" customHeight="1" x14ac:dyDescent="0.25"/>
    <row r="4244" s="1" customFormat="1" ht="15.95" customHeight="1" x14ac:dyDescent="0.25"/>
    <row r="4245" s="1" customFormat="1" ht="15.95" customHeight="1" x14ac:dyDescent="0.25"/>
    <row r="4246" s="1" customFormat="1" ht="15.95" customHeight="1" x14ac:dyDescent="0.25"/>
    <row r="4247" s="1" customFormat="1" ht="15.95" customHeight="1" x14ac:dyDescent="0.25"/>
    <row r="4248" s="1" customFormat="1" ht="15.95" customHeight="1" x14ac:dyDescent="0.25"/>
    <row r="4249" s="1" customFormat="1" ht="15.95" customHeight="1" x14ac:dyDescent="0.25"/>
    <row r="4250" s="1" customFormat="1" ht="15.95" customHeight="1" x14ac:dyDescent="0.25"/>
    <row r="4251" s="1" customFormat="1" ht="15.95" customHeight="1" x14ac:dyDescent="0.25"/>
    <row r="4252" s="1" customFormat="1" ht="15.95" customHeight="1" x14ac:dyDescent="0.25"/>
    <row r="4253" s="1" customFormat="1" ht="15.95" customHeight="1" x14ac:dyDescent="0.25"/>
    <row r="4254" s="1" customFormat="1" ht="15.95" customHeight="1" x14ac:dyDescent="0.25"/>
    <row r="4255" s="1" customFormat="1" ht="15.95" customHeight="1" x14ac:dyDescent="0.25"/>
    <row r="4256" s="1" customFormat="1" ht="15.95" customHeight="1" x14ac:dyDescent="0.25"/>
    <row r="4257" s="1" customFormat="1" ht="15.95" customHeight="1" x14ac:dyDescent="0.25"/>
    <row r="4258" s="1" customFormat="1" ht="15.95" customHeight="1" x14ac:dyDescent="0.25"/>
    <row r="4259" s="1" customFormat="1" ht="15.95" customHeight="1" x14ac:dyDescent="0.25"/>
    <row r="4260" s="1" customFormat="1" ht="15.95" customHeight="1" x14ac:dyDescent="0.25"/>
    <row r="4261" s="1" customFormat="1" ht="15.95" customHeight="1" x14ac:dyDescent="0.25"/>
    <row r="4262" s="1" customFormat="1" ht="15.95" customHeight="1" x14ac:dyDescent="0.25"/>
    <row r="4263" s="1" customFormat="1" ht="15.95" customHeight="1" x14ac:dyDescent="0.25"/>
    <row r="4264" s="1" customFormat="1" ht="15.95" customHeight="1" x14ac:dyDescent="0.25"/>
    <row r="4265" s="1" customFormat="1" ht="15.95" customHeight="1" x14ac:dyDescent="0.25"/>
    <row r="4266" s="1" customFormat="1" ht="15.95" customHeight="1" x14ac:dyDescent="0.25"/>
    <row r="4267" s="1" customFormat="1" ht="15.95" customHeight="1" x14ac:dyDescent="0.25"/>
    <row r="4268" s="1" customFormat="1" ht="15.95" customHeight="1" x14ac:dyDescent="0.25"/>
    <row r="4269" s="1" customFormat="1" ht="15.95" customHeight="1" x14ac:dyDescent="0.25"/>
    <row r="4270" s="1" customFormat="1" ht="15.95" customHeight="1" x14ac:dyDescent="0.25"/>
    <row r="4271" s="1" customFormat="1" ht="15.95" customHeight="1" x14ac:dyDescent="0.25"/>
    <row r="4272" s="1" customFormat="1" ht="15.95" customHeight="1" x14ac:dyDescent="0.25"/>
    <row r="4273" s="1" customFormat="1" ht="15.95" customHeight="1" x14ac:dyDescent="0.25"/>
    <row r="4274" s="1" customFormat="1" ht="15.95" customHeight="1" x14ac:dyDescent="0.25"/>
    <row r="4275" s="1" customFormat="1" ht="15.95" customHeight="1" x14ac:dyDescent="0.25"/>
    <row r="4276" s="1" customFormat="1" ht="15.95" customHeight="1" x14ac:dyDescent="0.25"/>
    <row r="4277" s="1" customFormat="1" ht="15.95" customHeight="1" x14ac:dyDescent="0.25"/>
    <row r="4278" s="1" customFormat="1" ht="15.95" customHeight="1" x14ac:dyDescent="0.25"/>
    <row r="4279" s="1" customFormat="1" ht="15.95" customHeight="1" x14ac:dyDescent="0.25"/>
    <row r="4280" s="1" customFormat="1" ht="15.95" customHeight="1" x14ac:dyDescent="0.25"/>
    <row r="4281" s="1" customFormat="1" ht="15.95" customHeight="1" x14ac:dyDescent="0.25"/>
    <row r="4282" s="1" customFormat="1" ht="15.95" customHeight="1" x14ac:dyDescent="0.25"/>
    <row r="4283" s="1" customFormat="1" ht="15.95" customHeight="1" x14ac:dyDescent="0.25"/>
    <row r="4284" s="1" customFormat="1" ht="15.95" customHeight="1" x14ac:dyDescent="0.25"/>
    <row r="4285" s="1" customFormat="1" ht="15.95" customHeight="1" x14ac:dyDescent="0.25"/>
    <row r="4286" s="1" customFormat="1" ht="15.95" customHeight="1" x14ac:dyDescent="0.25"/>
    <row r="4287" s="1" customFormat="1" ht="15.95" customHeight="1" x14ac:dyDescent="0.25"/>
    <row r="4288" s="1" customFormat="1" ht="15.95" customHeight="1" x14ac:dyDescent="0.25"/>
    <row r="4289" s="1" customFormat="1" ht="15.95" customHeight="1" x14ac:dyDescent="0.25"/>
    <row r="4290" s="1" customFormat="1" ht="15.95" customHeight="1" x14ac:dyDescent="0.25"/>
    <row r="4291" s="1" customFormat="1" ht="15.95" customHeight="1" x14ac:dyDescent="0.25"/>
    <row r="4292" s="1" customFormat="1" ht="15.95" customHeight="1" x14ac:dyDescent="0.25"/>
    <row r="4293" s="1" customFormat="1" ht="15.95" customHeight="1" x14ac:dyDescent="0.25"/>
    <row r="4294" s="1" customFormat="1" ht="15.95" customHeight="1" x14ac:dyDescent="0.25"/>
    <row r="4295" s="1" customFormat="1" ht="15.95" customHeight="1" x14ac:dyDescent="0.25"/>
    <row r="4296" s="1" customFormat="1" ht="15.95" customHeight="1" x14ac:dyDescent="0.25"/>
    <row r="4297" s="1" customFormat="1" ht="15.95" customHeight="1" x14ac:dyDescent="0.25"/>
    <row r="4298" s="1" customFormat="1" ht="15.95" customHeight="1" x14ac:dyDescent="0.25"/>
    <row r="4299" s="1" customFormat="1" ht="15.95" customHeight="1" x14ac:dyDescent="0.25"/>
    <row r="4300" s="1" customFormat="1" ht="15.95" customHeight="1" x14ac:dyDescent="0.25"/>
    <row r="4301" s="1" customFormat="1" ht="15.95" customHeight="1" x14ac:dyDescent="0.25"/>
    <row r="4302" s="1" customFormat="1" ht="15.95" customHeight="1" x14ac:dyDescent="0.25"/>
    <row r="4303" s="1" customFormat="1" ht="15.95" customHeight="1" x14ac:dyDescent="0.25"/>
    <row r="4304" s="1" customFormat="1" ht="15.95" customHeight="1" x14ac:dyDescent="0.25"/>
    <row r="4305" s="1" customFormat="1" ht="15.95" customHeight="1" x14ac:dyDescent="0.25"/>
    <row r="4306" s="1" customFormat="1" ht="15.95" customHeight="1" x14ac:dyDescent="0.25"/>
    <row r="4307" s="1" customFormat="1" ht="15.95" customHeight="1" x14ac:dyDescent="0.25"/>
    <row r="4308" s="1" customFormat="1" ht="15.95" customHeight="1" x14ac:dyDescent="0.25"/>
    <row r="4309" s="1" customFormat="1" ht="15.95" customHeight="1" x14ac:dyDescent="0.25"/>
    <row r="4310" s="1" customFormat="1" ht="15.95" customHeight="1" x14ac:dyDescent="0.25"/>
    <row r="4311" s="1" customFormat="1" ht="15.95" customHeight="1" x14ac:dyDescent="0.25"/>
    <row r="4312" s="1" customFormat="1" ht="15.95" customHeight="1" x14ac:dyDescent="0.25"/>
    <row r="4313" s="1" customFormat="1" ht="15.95" customHeight="1" x14ac:dyDescent="0.25"/>
    <row r="4314" s="1" customFormat="1" ht="15.95" customHeight="1" x14ac:dyDescent="0.25"/>
    <row r="4315" s="1" customFormat="1" ht="15.95" customHeight="1" x14ac:dyDescent="0.25"/>
    <row r="4316" s="1" customFormat="1" ht="15.95" customHeight="1" x14ac:dyDescent="0.25"/>
    <row r="4317" s="1" customFormat="1" ht="15.95" customHeight="1" x14ac:dyDescent="0.25"/>
    <row r="4318" s="1" customFormat="1" ht="15.95" customHeight="1" x14ac:dyDescent="0.25"/>
    <row r="4319" s="1" customFormat="1" ht="15.95" customHeight="1" x14ac:dyDescent="0.25"/>
    <row r="4320" s="1" customFormat="1" ht="15.95" customHeight="1" x14ac:dyDescent="0.25"/>
    <row r="4321" s="1" customFormat="1" ht="15.95" customHeight="1" x14ac:dyDescent="0.25"/>
    <row r="4322" s="1" customFormat="1" ht="15.95" customHeight="1" x14ac:dyDescent="0.25"/>
    <row r="4323" s="1" customFormat="1" ht="15.95" customHeight="1" x14ac:dyDescent="0.25"/>
    <row r="4324" s="1" customFormat="1" ht="15.95" customHeight="1" x14ac:dyDescent="0.25"/>
    <row r="4325" s="1" customFormat="1" ht="15.95" customHeight="1" x14ac:dyDescent="0.25"/>
    <row r="4326" s="1" customFormat="1" ht="15.95" customHeight="1" x14ac:dyDescent="0.25"/>
    <row r="4327" s="1" customFormat="1" ht="15.95" customHeight="1" x14ac:dyDescent="0.25"/>
    <row r="4328" s="1" customFormat="1" ht="15.95" customHeight="1" x14ac:dyDescent="0.25"/>
    <row r="4329" s="1" customFormat="1" ht="15.95" customHeight="1" x14ac:dyDescent="0.25"/>
    <row r="4330" s="1" customFormat="1" ht="15.95" customHeight="1" x14ac:dyDescent="0.25"/>
    <row r="4331" s="1" customFormat="1" ht="15.95" customHeight="1" x14ac:dyDescent="0.25"/>
    <row r="4332" s="1" customFormat="1" ht="15.95" customHeight="1" x14ac:dyDescent="0.25"/>
    <row r="4333" s="1" customFormat="1" ht="15.95" customHeight="1" x14ac:dyDescent="0.25"/>
    <row r="4334" s="1" customFormat="1" ht="15.95" customHeight="1" x14ac:dyDescent="0.25"/>
    <row r="4335" s="1" customFormat="1" ht="15.95" customHeight="1" x14ac:dyDescent="0.25"/>
    <row r="4336" s="1" customFormat="1" ht="15.95" customHeight="1" x14ac:dyDescent="0.25"/>
    <row r="4337" s="1" customFormat="1" ht="15.95" customHeight="1" x14ac:dyDescent="0.25"/>
    <row r="4338" s="1" customFormat="1" ht="15.95" customHeight="1" x14ac:dyDescent="0.25"/>
    <row r="4339" s="1" customFormat="1" ht="15.95" customHeight="1" x14ac:dyDescent="0.25"/>
    <row r="4340" s="1" customFormat="1" ht="15.95" customHeight="1" x14ac:dyDescent="0.25"/>
    <row r="4341" s="1" customFormat="1" ht="15.95" customHeight="1" x14ac:dyDescent="0.25"/>
    <row r="4342" s="1" customFormat="1" ht="15.95" customHeight="1" x14ac:dyDescent="0.25"/>
    <row r="4343" s="1" customFormat="1" ht="15.95" customHeight="1" x14ac:dyDescent="0.25"/>
    <row r="4344" s="1" customFormat="1" ht="15.95" customHeight="1" x14ac:dyDescent="0.25"/>
    <row r="4345" s="1" customFormat="1" ht="15.95" customHeight="1" x14ac:dyDescent="0.25"/>
    <row r="4346" s="1" customFormat="1" ht="15.95" customHeight="1" x14ac:dyDescent="0.25"/>
    <row r="4347" s="1" customFormat="1" ht="15.95" customHeight="1" x14ac:dyDescent="0.25"/>
    <row r="4348" s="1" customFormat="1" ht="15.95" customHeight="1" x14ac:dyDescent="0.25"/>
    <row r="4349" s="1" customFormat="1" ht="15.95" customHeight="1" x14ac:dyDescent="0.25"/>
    <row r="4350" s="1" customFormat="1" ht="15.95" customHeight="1" x14ac:dyDescent="0.25"/>
    <row r="4351" s="1" customFormat="1" ht="15.95" customHeight="1" x14ac:dyDescent="0.25"/>
    <row r="4352" s="1" customFormat="1" ht="15.95" customHeight="1" x14ac:dyDescent="0.25"/>
    <row r="4353" s="1" customFormat="1" ht="15.95" customHeight="1" x14ac:dyDescent="0.25"/>
    <row r="4354" s="1" customFormat="1" ht="15.95" customHeight="1" x14ac:dyDescent="0.25"/>
    <row r="4355" s="1" customFormat="1" ht="15.95" customHeight="1" x14ac:dyDescent="0.25"/>
    <row r="4356" s="1" customFormat="1" ht="15.95" customHeight="1" x14ac:dyDescent="0.25"/>
    <row r="4357" s="1" customFormat="1" ht="15.95" customHeight="1" x14ac:dyDescent="0.25"/>
    <row r="4358" s="1" customFormat="1" ht="15.95" customHeight="1" x14ac:dyDescent="0.25"/>
    <row r="4359" s="1" customFormat="1" ht="15.95" customHeight="1" x14ac:dyDescent="0.25"/>
    <row r="4360" s="1" customFormat="1" ht="15.95" customHeight="1" x14ac:dyDescent="0.25"/>
    <row r="4361" s="1" customFormat="1" ht="15.95" customHeight="1" x14ac:dyDescent="0.25"/>
    <row r="4362" s="1" customFormat="1" ht="15.95" customHeight="1" x14ac:dyDescent="0.25"/>
    <row r="4363" s="1" customFormat="1" ht="15.95" customHeight="1" x14ac:dyDescent="0.25"/>
    <row r="4364" s="1" customFormat="1" ht="15.95" customHeight="1" x14ac:dyDescent="0.25"/>
    <row r="4365" s="1" customFormat="1" ht="15.95" customHeight="1" x14ac:dyDescent="0.25"/>
    <row r="4366" s="1" customFormat="1" ht="15.95" customHeight="1" x14ac:dyDescent="0.25"/>
    <row r="4367" s="1" customFormat="1" ht="15.95" customHeight="1" x14ac:dyDescent="0.25"/>
    <row r="4368" s="1" customFormat="1" ht="15.95" customHeight="1" x14ac:dyDescent="0.25"/>
    <row r="4369" s="1" customFormat="1" ht="15.95" customHeight="1" x14ac:dyDescent="0.25"/>
    <row r="4370" s="1" customFormat="1" ht="15.95" customHeight="1" x14ac:dyDescent="0.25"/>
    <row r="4371" s="1" customFormat="1" ht="15.95" customHeight="1" x14ac:dyDescent="0.25"/>
    <row r="4372" s="1" customFormat="1" ht="15.95" customHeight="1" x14ac:dyDescent="0.25"/>
    <row r="4373" s="1" customFormat="1" ht="15.95" customHeight="1" x14ac:dyDescent="0.25"/>
    <row r="4374" s="1" customFormat="1" ht="15.95" customHeight="1" x14ac:dyDescent="0.25"/>
    <row r="4375" s="1" customFormat="1" ht="15.95" customHeight="1" x14ac:dyDescent="0.25"/>
    <row r="4376" s="1" customFormat="1" ht="15.95" customHeight="1" x14ac:dyDescent="0.25"/>
    <row r="4377" s="1" customFormat="1" ht="15.95" customHeight="1" x14ac:dyDescent="0.25"/>
    <row r="4378" s="1" customFormat="1" ht="15.95" customHeight="1" x14ac:dyDescent="0.25"/>
    <row r="4379" s="1" customFormat="1" ht="15.95" customHeight="1" x14ac:dyDescent="0.25"/>
    <row r="4380" s="1" customFormat="1" ht="15.95" customHeight="1" x14ac:dyDescent="0.25"/>
    <row r="4381" s="1" customFormat="1" ht="15.95" customHeight="1" x14ac:dyDescent="0.25"/>
    <row r="4382" s="1" customFormat="1" ht="15.95" customHeight="1" x14ac:dyDescent="0.25"/>
    <row r="4383" s="1" customFormat="1" ht="15.95" customHeight="1" x14ac:dyDescent="0.25"/>
    <row r="4384" s="1" customFormat="1" ht="15.95" customHeight="1" x14ac:dyDescent="0.25"/>
    <row r="4385" s="1" customFormat="1" ht="15.95" customHeight="1" x14ac:dyDescent="0.25"/>
    <row r="4386" s="1" customFormat="1" ht="15.95" customHeight="1" x14ac:dyDescent="0.25"/>
    <row r="4387" s="1" customFormat="1" ht="15.95" customHeight="1" x14ac:dyDescent="0.25"/>
    <row r="4388" s="1" customFormat="1" ht="15.95" customHeight="1" x14ac:dyDescent="0.25"/>
    <row r="4389" s="1" customFormat="1" ht="15.95" customHeight="1" x14ac:dyDescent="0.25"/>
    <row r="4390" s="1" customFormat="1" ht="15.95" customHeight="1" x14ac:dyDescent="0.25"/>
    <row r="4391" s="1" customFormat="1" ht="15.95" customHeight="1" x14ac:dyDescent="0.25"/>
    <row r="4392" s="1" customFormat="1" ht="15.95" customHeight="1" x14ac:dyDescent="0.25"/>
    <row r="4393" s="1" customFormat="1" ht="15.95" customHeight="1" x14ac:dyDescent="0.25"/>
    <row r="4394" s="1" customFormat="1" ht="15.95" customHeight="1" x14ac:dyDescent="0.25"/>
    <row r="4395" s="1" customFormat="1" ht="15.95" customHeight="1" x14ac:dyDescent="0.25"/>
    <row r="4396" s="1" customFormat="1" ht="15.95" customHeight="1" x14ac:dyDescent="0.25"/>
    <row r="4397" s="1" customFormat="1" ht="15.95" customHeight="1" x14ac:dyDescent="0.25"/>
    <row r="4398" s="1" customFormat="1" ht="15.95" customHeight="1" x14ac:dyDescent="0.25"/>
    <row r="4399" s="1" customFormat="1" ht="15.95" customHeight="1" x14ac:dyDescent="0.25"/>
    <row r="4400" s="1" customFormat="1" ht="15.95" customHeight="1" x14ac:dyDescent="0.25"/>
    <row r="4401" s="1" customFormat="1" ht="15.95" customHeight="1" x14ac:dyDescent="0.25"/>
    <row r="4402" s="1" customFormat="1" ht="15.95" customHeight="1" x14ac:dyDescent="0.25"/>
    <row r="4403" s="1" customFormat="1" ht="15.95" customHeight="1" x14ac:dyDescent="0.25"/>
    <row r="4404" s="1" customFormat="1" ht="15.95" customHeight="1" x14ac:dyDescent="0.25"/>
    <row r="4405" s="1" customFormat="1" ht="15.95" customHeight="1" x14ac:dyDescent="0.25"/>
    <row r="4406" s="1" customFormat="1" ht="15.95" customHeight="1" x14ac:dyDescent="0.25"/>
    <row r="4407" s="1" customFormat="1" ht="15.95" customHeight="1" x14ac:dyDescent="0.25"/>
    <row r="4408" s="1" customFormat="1" ht="15.95" customHeight="1" x14ac:dyDescent="0.25"/>
    <row r="4409" s="1" customFormat="1" ht="15.95" customHeight="1" x14ac:dyDescent="0.25"/>
    <row r="4410" s="1" customFormat="1" ht="15.95" customHeight="1" x14ac:dyDescent="0.25"/>
    <row r="4411" s="1" customFormat="1" ht="15.95" customHeight="1" x14ac:dyDescent="0.25"/>
    <row r="4412" s="1" customFormat="1" ht="15.95" customHeight="1" x14ac:dyDescent="0.25"/>
    <row r="4413" s="1" customFormat="1" ht="15.95" customHeight="1" x14ac:dyDescent="0.25"/>
    <row r="4414" s="1" customFormat="1" ht="15.95" customHeight="1" x14ac:dyDescent="0.25"/>
    <row r="4415" s="1" customFormat="1" ht="15.95" customHeight="1" x14ac:dyDescent="0.25"/>
    <row r="4416" s="1" customFormat="1" ht="15.95" customHeight="1" x14ac:dyDescent="0.25"/>
    <row r="4417" s="1" customFormat="1" ht="15.95" customHeight="1" x14ac:dyDescent="0.25"/>
    <row r="4418" s="1" customFormat="1" ht="15.95" customHeight="1" x14ac:dyDescent="0.25"/>
    <row r="4419" s="1" customFormat="1" ht="15.95" customHeight="1" x14ac:dyDescent="0.25"/>
    <row r="4420" s="1" customFormat="1" ht="15.95" customHeight="1" x14ac:dyDescent="0.25"/>
    <row r="4421" s="1" customFormat="1" ht="15.95" customHeight="1" x14ac:dyDescent="0.25"/>
    <row r="4422" s="1" customFormat="1" ht="15.95" customHeight="1" x14ac:dyDescent="0.25"/>
    <row r="4423" s="1" customFormat="1" ht="15.95" customHeight="1" x14ac:dyDescent="0.25"/>
    <row r="4424" s="1" customFormat="1" ht="15.95" customHeight="1" x14ac:dyDescent="0.25"/>
    <row r="4425" s="1" customFormat="1" ht="15.95" customHeight="1" x14ac:dyDescent="0.25"/>
    <row r="4426" s="1" customFormat="1" ht="15.95" customHeight="1" x14ac:dyDescent="0.25"/>
    <row r="4427" s="1" customFormat="1" ht="15.95" customHeight="1" x14ac:dyDescent="0.25"/>
    <row r="4428" s="1" customFormat="1" ht="15.95" customHeight="1" x14ac:dyDescent="0.25"/>
    <row r="4429" s="1" customFormat="1" ht="15.95" customHeight="1" x14ac:dyDescent="0.25"/>
    <row r="4430" s="1" customFormat="1" ht="15.95" customHeight="1" x14ac:dyDescent="0.25"/>
    <row r="4431" s="1" customFormat="1" ht="15.95" customHeight="1" x14ac:dyDescent="0.25"/>
    <row r="4432" s="1" customFormat="1" ht="15.95" customHeight="1" x14ac:dyDescent="0.25"/>
    <row r="4433" s="1" customFormat="1" ht="15.95" customHeight="1" x14ac:dyDescent="0.25"/>
    <row r="4434" s="1" customFormat="1" ht="15.95" customHeight="1" x14ac:dyDescent="0.25"/>
    <row r="4435" s="1" customFormat="1" ht="15.95" customHeight="1" x14ac:dyDescent="0.25"/>
    <row r="4436" s="1" customFormat="1" ht="15.95" customHeight="1" x14ac:dyDescent="0.25"/>
    <row r="4437" s="1" customFormat="1" ht="15.95" customHeight="1" x14ac:dyDescent="0.25"/>
    <row r="4438" s="1" customFormat="1" ht="15.95" customHeight="1" x14ac:dyDescent="0.25"/>
    <row r="4439" s="1" customFormat="1" ht="15.95" customHeight="1" x14ac:dyDescent="0.25"/>
    <row r="4440" s="1" customFormat="1" ht="15.95" customHeight="1" x14ac:dyDescent="0.25"/>
    <row r="4441" s="1" customFormat="1" ht="15.95" customHeight="1" x14ac:dyDescent="0.25"/>
    <row r="4442" s="1" customFormat="1" ht="15.95" customHeight="1" x14ac:dyDescent="0.25"/>
    <row r="4443" s="1" customFormat="1" ht="15.95" customHeight="1" x14ac:dyDescent="0.25"/>
    <row r="4444" s="1" customFormat="1" ht="15.95" customHeight="1" x14ac:dyDescent="0.25"/>
    <row r="4445" s="1" customFormat="1" ht="15.95" customHeight="1" x14ac:dyDescent="0.25"/>
    <row r="4446" s="1" customFormat="1" ht="15.95" customHeight="1" x14ac:dyDescent="0.25"/>
    <row r="4447" s="1" customFormat="1" ht="15.95" customHeight="1" x14ac:dyDescent="0.25"/>
    <row r="4448" s="1" customFormat="1" ht="15.95" customHeight="1" x14ac:dyDescent="0.25"/>
    <row r="4449" s="1" customFormat="1" ht="15.95" customHeight="1" x14ac:dyDescent="0.25"/>
    <row r="4450" s="1" customFormat="1" ht="15.95" customHeight="1" x14ac:dyDescent="0.25"/>
    <row r="4451" s="1" customFormat="1" ht="15.95" customHeight="1" x14ac:dyDescent="0.25"/>
    <row r="4452" s="1" customFormat="1" ht="15.95" customHeight="1" x14ac:dyDescent="0.25"/>
    <row r="4453" s="1" customFormat="1" ht="15.95" customHeight="1" x14ac:dyDescent="0.25"/>
    <row r="4454" s="1" customFormat="1" ht="15.95" customHeight="1" x14ac:dyDescent="0.25"/>
    <row r="4455" s="1" customFormat="1" ht="15.95" customHeight="1" x14ac:dyDescent="0.25"/>
    <row r="4456" s="1" customFormat="1" ht="15.95" customHeight="1" x14ac:dyDescent="0.25"/>
    <row r="4457" s="1" customFormat="1" ht="15.95" customHeight="1" x14ac:dyDescent="0.25"/>
    <row r="4458" s="1" customFormat="1" ht="15.95" customHeight="1" x14ac:dyDescent="0.25"/>
    <row r="4459" s="1" customFormat="1" ht="15.95" customHeight="1" x14ac:dyDescent="0.25"/>
    <row r="4460" s="1" customFormat="1" ht="15.95" customHeight="1" x14ac:dyDescent="0.25"/>
    <row r="4461" s="1" customFormat="1" ht="15.95" customHeight="1" x14ac:dyDescent="0.25"/>
    <row r="4462" s="1" customFormat="1" ht="15.95" customHeight="1" x14ac:dyDescent="0.25"/>
    <row r="4463" s="1" customFormat="1" ht="15.95" customHeight="1" x14ac:dyDescent="0.25"/>
    <row r="4464" s="1" customFormat="1" ht="15.95" customHeight="1" x14ac:dyDescent="0.25"/>
    <row r="4465" s="1" customFormat="1" ht="15.95" customHeight="1" x14ac:dyDescent="0.25"/>
    <row r="4466" s="1" customFormat="1" ht="15.95" customHeight="1" x14ac:dyDescent="0.25"/>
    <row r="4467" s="1" customFormat="1" ht="15.95" customHeight="1" x14ac:dyDescent="0.25"/>
    <row r="4468" s="1" customFormat="1" ht="15.95" customHeight="1" x14ac:dyDescent="0.25"/>
    <row r="4469" s="1" customFormat="1" ht="15.95" customHeight="1" x14ac:dyDescent="0.25"/>
    <row r="4470" s="1" customFormat="1" ht="15.95" customHeight="1" x14ac:dyDescent="0.25"/>
    <row r="4471" s="1" customFormat="1" ht="15.95" customHeight="1" x14ac:dyDescent="0.25"/>
    <row r="4472" s="1" customFormat="1" ht="15.95" customHeight="1" x14ac:dyDescent="0.25"/>
    <row r="4473" s="1" customFormat="1" ht="15.95" customHeight="1" x14ac:dyDescent="0.25"/>
    <row r="4474" s="1" customFormat="1" ht="15.95" customHeight="1" x14ac:dyDescent="0.25"/>
    <row r="4475" s="1" customFormat="1" ht="15.95" customHeight="1" x14ac:dyDescent="0.25"/>
    <row r="4476" s="1" customFormat="1" ht="15.95" customHeight="1" x14ac:dyDescent="0.25"/>
    <row r="4477" s="1" customFormat="1" ht="15.95" customHeight="1" x14ac:dyDescent="0.25"/>
    <row r="4478" s="1" customFormat="1" ht="15.95" customHeight="1" x14ac:dyDescent="0.25"/>
    <row r="4479" s="1" customFormat="1" ht="15.95" customHeight="1" x14ac:dyDescent="0.25"/>
    <row r="4480" s="1" customFormat="1" ht="15.95" customHeight="1" x14ac:dyDescent="0.25"/>
    <row r="4481" s="1" customFormat="1" ht="15.95" customHeight="1" x14ac:dyDescent="0.25"/>
    <row r="4482" s="1" customFormat="1" ht="15.95" customHeight="1" x14ac:dyDescent="0.25"/>
    <row r="4483" s="1" customFormat="1" ht="15.95" customHeight="1" x14ac:dyDescent="0.25"/>
    <row r="4484" s="1" customFormat="1" ht="15.95" customHeight="1" x14ac:dyDescent="0.25"/>
    <row r="4485" s="1" customFormat="1" ht="15.95" customHeight="1" x14ac:dyDescent="0.25"/>
    <row r="4486" s="1" customFormat="1" ht="15.95" customHeight="1" x14ac:dyDescent="0.25"/>
    <row r="4487" s="1" customFormat="1" ht="15.95" customHeight="1" x14ac:dyDescent="0.25"/>
    <row r="4488" s="1" customFormat="1" ht="15.95" customHeight="1" x14ac:dyDescent="0.25"/>
    <row r="4489" s="1" customFormat="1" ht="15.95" customHeight="1" x14ac:dyDescent="0.25"/>
    <row r="4490" s="1" customFormat="1" ht="15.95" customHeight="1" x14ac:dyDescent="0.25"/>
    <row r="4491" s="1" customFormat="1" ht="15.95" customHeight="1" x14ac:dyDescent="0.25"/>
    <row r="4492" s="1" customFormat="1" ht="15.95" customHeight="1" x14ac:dyDescent="0.25"/>
    <row r="4493" s="1" customFormat="1" ht="15.95" customHeight="1" x14ac:dyDescent="0.25"/>
    <row r="4494" s="1" customFormat="1" ht="15.95" customHeight="1" x14ac:dyDescent="0.25"/>
    <row r="4495" s="1" customFormat="1" ht="15.95" customHeight="1" x14ac:dyDescent="0.25"/>
    <row r="4496" s="1" customFormat="1" ht="15.95" customHeight="1" x14ac:dyDescent="0.25"/>
    <row r="4497" s="1" customFormat="1" ht="15.95" customHeight="1" x14ac:dyDescent="0.25"/>
    <row r="4498" s="1" customFormat="1" ht="15.95" customHeight="1" x14ac:dyDescent="0.25"/>
    <row r="4499" s="1" customFormat="1" ht="15.95" customHeight="1" x14ac:dyDescent="0.25"/>
    <row r="4500" s="1" customFormat="1" ht="15.95" customHeight="1" x14ac:dyDescent="0.25"/>
    <row r="4501" s="1" customFormat="1" ht="15.95" customHeight="1" x14ac:dyDescent="0.25"/>
    <row r="4502" s="1" customFormat="1" ht="15.95" customHeight="1" x14ac:dyDescent="0.25"/>
    <row r="4503" s="1" customFormat="1" ht="15.95" customHeight="1" x14ac:dyDescent="0.25"/>
    <row r="4504" s="1" customFormat="1" ht="15.95" customHeight="1" x14ac:dyDescent="0.25"/>
    <row r="4505" s="1" customFormat="1" ht="15.95" customHeight="1" x14ac:dyDescent="0.25"/>
    <row r="4506" s="1" customFormat="1" ht="15.95" customHeight="1" x14ac:dyDescent="0.25"/>
    <row r="4507" s="1" customFormat="1" ht="15.95" customHeight="1" x14ac:dyDescent="0.25"/>
    <row r="4508" s="1" customFormat="1" ht="15.95" customHeight="1" x14ac:dyDescent="0.25"/>
    <row r="4509" s="1" customFormat="1" ht="15.95" customHeight="1" x14ac:dyDescent="0.25"/>
    <row r="4510" s="1" customFormat="1" ht="15.95" customHeight="1" x14ac:dyDescent="0.25"/>
    <row r="4511" s="1" customFormat="1" ht="15.95" customHeight="1" x14ac:dyDescent="0.25"/>
    <row r="4512" s="1" customFormat="1" ht="15.95" customHeight="1" x14ac:dyDescent="0.25"/>
    <row r="4513" s="1" customFormat="1" ht="15.95" customHeight="1" x14ac:dyDescent="0.25"/>
    <row r="4514" s="1" customFormat="1" ht="15.95" customHeight="1" x14ac:dyDescent="0.25"/>
    <row r="4515" s="1" customFormat="1" ht="15.95" customHeight="1" x14ac:dyDescent="0.25"/>
    <row r="4516" s="1" customFormat="1" ht="15.95" customHeight="1" x14ac:dyDescent="0.25"/>
    <row r="4517" s="1" customFormat="1" ht="15.95" customHeight="1" x14ac:dyDescent="0.25"/>
    <row r="4518" s="1" customFormat="1" ht="15.95" customHeight="1" x14ac:dyDescent="0.25"/>
    <row r="4519" s="1" customFormat="1" ht="15.95" customHeight="1" x14ac:dyDescent="0.25"/>
    <row r="4520" s="1" customFormat="1" ht="15.95" customHeight="1" x14ac:dyDescent="0.25"/>
    <row r="4521" s="1" customFormat="1" ht="15.95" customHeight="1" x14ac:dyDescent="0.25"/>
    <row r="4522" s="1" customFormat="1" ht="15.95" customHeight="1" x14ac:dyDescent="0.25"/>
    <row r="4523" s="1" customFormat="1" ht="15.95" customHeight="1" x14ac:dyDescent="0.25"/>
    <row r="4524" s="1" customFormat="1" ht="15.95" customHeight="1" x14ac:dyDescent="0.25"/>
    <row r="4525" s="1" customFormat="1" ht="15.95" customHeight="1" x14ac:dyDescent="0.25"/>
    <row r="4526" s="1" customFormat="1" ht="15.95" customHeight="1" x14ac:dyDescent="0.25"/>
    <row r="4527" s="1" customFormat="1" ht="15.95" customHeight="1" x14ac:dyDescent="0.25"/>
    <row r="4528" s="1" customFormat="1" ht="15.95" customHeight="1" x14ac:dyDescent="0.25"/>
    <row r="4529" s="1" customFormat="1" ht="15.95" customHeight="1" x14ac:dyDescent="0.25"/>
    <row r="4530" s="1" customFormat="1" ht="15.95" customHeight="1" x14ac:dyDescent="0.25"/>
    <row r="4531" s="1" customFormat="1" ht="15.95" customHeight="1" x14ac:dyDescent="0.25"/>
    <row r="4532" s="1" customFormat="1" ht="15.95" customHeight="1" x14ac:dyDescent="0.25"/>
    <row r="4533" s="1" customFormat="1" ht="15.95" customHeight="1" x14ac:dyDescent="0.25"/>
    <row r="4534" s="1" customFormat="1" ht="15.95" customHeight="1" x14ac:dyDescent="0.25"/>
    <row r="4535" s="1" customFormat="1" ht="15.95" customHeight="1" x14ac:dyDescent="0.25"/>
    <row r="4536" s="1" customFormat="1" ht="15.95" customHeight="1" x14ac:dyDescent="0.25"/>
    <row r="4537" s="1" customFormat="1" ht="15.95" customHeight="1" x14ac:dyDescent="0.25"/>
    <row r="4538" s="1" customFormat="1" ht="15.95" customHeight="1" x14ac:dyDescent="0.25"/>
    <row r="4539" s="1" customFormat="1" ht="15.95" customHeight="1" x14ac:dyDescent="0.25"/>
    <row r="4540" s="1" customFormat="1" ht="15.95" customHeight="1" x14ac:dyDescent="0.25"/>
    <row r="4541" s="1" customFormat="1" ht="15.95" customHeight="1" x14ac:dyDescent="0.25"/>
    <row r="4542" s="1" customFormat="1" ht="15.95" customHeight="1" x14ac:dyDescent="0.25"/>
    <row r="4543" s="1" customFormat="1" ht="15.95" customHeight="1" x14ac:dyDescent="0.25"/>
    <row r="4544" s="1" customFormat="1" ht="15.95" customHeight="1" x14ac:dyDescent="0.25"/>
    <row r="4545" s="1" customFormat="1" ht="15.95" customHeight="1" x14ac:dyDescent="0.25"/>
    <row r="4546" s="1" customFormat="1" ht="15.95" customHeight="1" x14ac:dyDescent="0.25"/>
    <row r="4547" s="1" customFormat="1" ht="15.95" customHeight="1" x14ac:dyDescent="0.25"/>
    <row r="4548" s="1" customFormat="1" ht="15.95" customHeight="1" x14ac:dyDescent="0.25"/>
    <row r="4549" s="1" customFormat="1" ht="15.95" customHeight="1" x14ac:dyDescent="0.25"/>
    <row r="4550" s="1" customFormat="1" ht="15.95" customHeight="1" x14ac:dyDescent="0.25"/>
    <row r="4551" s="1" customFormat="1" ht="15.95" customHeight="1" x14ac:dyDescent="0.25"/>
    <row r="4552" s="1" customFormat="1" ht="15.95" customHeight="1" x14ac:dyDescent="0.25"/>
    <row r="4553" s="1" customFormat="1" ht="15.95" customHeight="1" x14ac:dyDescent="0.25"/>
    <row r="4554" s="1" customFormat="1" ht="15.95" customHeight="1" x14ac:dyDescent="0.25"/>
    <row r="4555" s="1" customFormat="1" ht="15.95" customHeight="1" x14ac:dyDescent="0.25"/>
    <row r="4556" s="1" customFormat="1" ht="15.95" customHeight="1" x14ac:dyDescent="0.25"/>
    <row r="4557" s="1" customFormat="1" ht="15.95" customHeight="1" x14ac:dyDescent="0.25"/>
    <row r="4558" s="1" customFormat="1" ht="15.95" customHeight="1" x14ac:dyDescent="0.25"/>
    <row r="4559" s="1" customFormat="1" ht="15.95" customHeight="1" x14ac:dyDescent="0.25"/>
    <row r="4560" s="1" customFormat="1" ht="15.95" customHeight="1" x14ac:dyDescent="0.25"/>
    <row r="4561" s="1" customFormat="1" ht="15.95" customHeight="1" x14ac:dyDescent="0.25"/>
    <row r="4562" s="1" customFormat="1" ht="15.95" customHeight="1" x14ac:dyDescent="0.25"/>
    <row r="4563" s="1" customFormat="1" ht="15.95" customHeight="1" x14ac:dyDescent="0.25"/>
    <row r="4564" s="1" customFormat="1" ht="15.95" customHeight="1" x14ac:dyDescent="0.25"/>
    <row r="4565" s="1" customFormat="1" ht="15.95" customHeight="1" x14ac:dyDescent="0.25"/>
    <row r="4566" s="1" customFormat="1" ht="15.95" customHeight="1" x14ac:dyDescent="0.25"/>
    <row r="4567" s="1" customFormat="1" ht="15.95" customHeight="1" x14ac:dyDescent="0.25"/>
    <row r="4568" s="1" customFormat="1" ht="15.95" customHeight="1" x14ac:dyDescent="0.25"/>
    <row r="4569" s="1" customFormat="1" ht="15.95" customHeight="1" x14ac:dyDescent="0.25"/>
    <row r="4570" s="1" customFormat="1" ht="15.95" customHeight="1" x14ac:dyDescent="0.25"/>
    <row r="4571" s="1" customFormat="1" ht="15.95" customHeight="1" x14ac:dyDescent="0.25"/>
    <row r="4572" s="1" customFormat="1" ht="15.95" customHeight="1" x14ac:dyDescent="0.25"/>
    <row r="4573" s="1" customFormat="1" ht="15.95" customHeight="1" x14ac:dyDescent="0.25"/>
    <row r="4574" s="1" customFormat="1" ht="15.95" customHeight="1" x14ac:dyDescent="0.25"/>
    <row r="4575" s="1" customFormat="1" ht="15.95" customHeight="1" x14ac:dyDescent="0.25"/>
    <row r="4576" s="1" customFormat="1" ht="15.95" customHeight="1" x14ac:dyDescent="0.25"/>
    <row r="4577" s="1" customFormat="1" ht="15.95" customHeight="1" x14ac:dyDescent="0.25"/>
    <row r="4578" s="1" customFormat="1" ht="15.95" customHeight="1" x14ac:dyDescent="0.25"/>
    <row r="4579" s="1" customFormat="1" ht="15.95" customHeight="1" x14ac:dyDescent="0.25"/>
    <row r="4580" s="1" customFormat="1" ht="15.95" customHeight="1" x14ac:dyDescent="0.25"/>
    <row r="4581" s="1" customFormat="1" ht="15.95" customHeight="1" x14ac:dyDescent="0.25"/>
    <row r="4582" s="1" customFormat="1" ht="15.95" customHeight="1" x14ac:dyDescent="0.25"/>
    <row r="4583" s="1" customFormat="1" ht="15.95" customHeight="1" x14ac:dyDescent="0.25"/>
    <row r="4584" s="1" customFormat="1" ht="15.95" customHeight="1" x14ac:dyDescent="0.25"/>
    <row r="4585" s="1" customFormat="1" ht="15.95" customHeight="1" x14ac:dyDescent="0.25"/>
    <row r="4586" s="1" customFormat="1" ht="15.95" customHeight="1" x14ac:dyDescent="0.25"/>
    <row r="4587" s="1" customFormat="1" ht="15.95" customHeight="1" x14ac:dyDescent="0.25"/>
    <row r="4588" s="1" customFormat="1" ht="15.95" customHeight="1" x14ac:dyDescent="0.25"/>
    <row r="4589" s="1" customFormat="1" ht="15.95" customHeight="1" x14ac:dyDescent="0.25"/>
    <row r="4590" s="1" customFormat="1" ht="15.95" customHeight="1" x14ac:dyDescent="0.25"/>
    <row r="4591" s="1" customFormat="1" ht="15.95" customHeight="1" x14ac:dyDescent="0.25"/>
    <row r="4592" s="1" customFormat="1" ht="15.95" customHeight="1" x14ac:dyDescent="0.25"/>
    <row r="4593" s="1" customFormat="1" ht="15.95" customHeight="1" x14ac:dyDescent="0.25"/>
    <row r="4594" s="1" customFormat="1" ht="15.95" customHeight="1" x14ac:dyDescent="0.25"/>
    <row r="4595" s="1" customFormat="1" ht="15.95" customHeight="1" x14ac:dyDescent="0.25"/>
    <row r="4596" s="1" customFormat="1" ht="15.95" customHeight="1" x14ac:dyDescent="0.25"/>
    <row r="4597" s="1" customFormat="1" ht="15.95" customHeight="1" x14ac:dyDescent="0.25"/>
    <row r="4598" s="1" customFormat="1" ht="15.95" customHeight="1" x14ac:dyDescent="0.25"/>
    <row r="4599" s="1" customFormat="1" ht="15.95" customHeight="1" x14ac:dyDescent="0.25"/>
    <row r="4600" s="1" customFormat="1" ht="15.95" customHeight="1" x14ac:dyDescent="0.25"/>
    <row r="4601" s="1" customFormat="1" ht="15.95" customHeight="1" x14ac:dyDescent="0.25"/>
    <row r="4602" s="1" customFormat="1" ht="15.95" customHeight="1" x14ac:dyDescent="0.25"/>
    <row r="4603" s="1" customFormat="1" ht="15.95" customHeight="1" x14ac:dyDescent="0.25"/>
    <row r="4604" s="1" customFormat="1" ht="15.95" customHeight="1" x14ac:dyDescent="0.25"/>
    <row r="4605" s="1" customFormat="1" ht="15.95" customHeight="1" x14ac:dyDescent="0.25"/>
    <row r="4606" s="1" customFormat="1" ht="15.95" customHeight="1" x14ac:dyDescent="0.25"/>
    <row r="4607" s="1" customFormat="1" ht="15.95" customHeight="1" x14ac:dyDescent="0.25"/>
    <row r="4608" s="1" customFormat="1" ht="15.95" customHeight="1" x14ac:dyDescent="0.25"/>
    <row r="4609" s="1" customFormat="1" ht="15.95" customHeight="1" x14ac:dyDescent="0.25"/>
    <row r="4610" s="1" customFormat="1" ht="15.95" customHeight="1" x14ac:dyDescent="0.25"/>
    <row r="4611" s="1" customFormat="1" ht="15.95" customHeight="1" x14ac:dyDescent="0.25"/>
    <row r="4612" s="1" customFormat="1" ht="15.95" customHeight="1" x14ac:dyDescent="0.25"/>
    <row r="4613" s="1" customFormat="1" ht="15.95" customHeight="1" x14ac:dyDescent="0.25"/>
    <row r="4614" s="1" customFormat="1" ht="15.95" customHeight="1" x14ac:dyDescent="0.25"/>
    <row r="4615" s="1" customFormat="1" ht="15.95" customHeight="1" x14ac:dyDescent="0.25"/>
    <row r="4616" s="1" customFormat="1" ht="15.95" customHeight="1" x14ac:dyDescent="0.25"/>
    <row r="4617" s="1" customFormat="1" ht="15.95" customHeight="1" x14ac:dyDescent="0.25"/>
    <row r="4618" s="1" customFormat="1" ht="15.95" customHeight="1" x14ac:dyDescent="0.25"/>
    <row r="4619" s="1" customFormat="1" ht="15.95" customHeight="1" x14ac:dyDescent="0.25"/>
    <row r="4620" s="1" customFormat="1" ht="15.95" customHeight="1" x14ac:dyDescent="0.25"/>
    <row r="4621" s="1" customFormat="1" ht="15.95" customHeight="1" x14ac:dyDescent="0.25"/>
    <row r="4622" s="1" customFormat="1" ht="15.95" customHeight="1" x14ac:dyDescent="0.25"/>
    <row r="4623" s="1" customFormat="1" ht="15.95" customHeight="1" x14ac:dyDescent="0.25"/>
    <row r="4624" s="1" customFormat="1" ht="15.95" customHeight="1" x14ac:dyDescent="0.25"/>
    <row r="4625" s="1" customFormat="1" ht="15.95" customHeight="1" x14ac:dyDescent="0.25"/>
    <row r="4626" s="1" customFormat="1" ht="15.95" customHeight="1" x14ac:dyDescent="0.25"/>
    <row r="4627" s="1" customFormat="1" ht="15.95" customHeight="1" x14ac:dyDescent="0.25"/>
    <row r="4628" s="1" customFormat="1" ht="15.95" customHeight="1" x14ac:dyDescent="0.25"/>
    <row r="4629" s="1" customFormat="1" ht="15.95" customHeight="1" x14ac:dyDescent="0.25"/>
    <row r="4630" s="1" customFormat="1" ht="15.95" customHeight="1" x14ac:dyDescent="0.25"/>
    <row r="4631" s="1" customFormat="1" ht="15.95" customHeight="1" x14ac:dyDescent="0.25"/>
    <row r="4632" s="1" customFormat="1" ht="15.95" customHeight="1" x14ac:dyDescent="0.25"/>
    <row r="4633" s="1" customFormat="1" ht="15.95" customHeight="1" x14ac:dyDescent="0.25"/>
    <row r="4634" s="1" customFormat="1" ht="15.95" customHeight="1" x14ac:dyDescent="0.25"/>
    <row r="4635" s="1" customFormat="1" ht="15.95" customHeight="1" x14ac:dyDescent="0.25"/>
    <row r="4636" s="1" customFormat="1" ht="15.95" customHeight="1" x14ac:dyDescent="0.25"/>
    <row r="4637" s="1" customFormat="1" ht="15.95" customHeight="1" x14ac:dyDescent="0.25"/>
    <row r="4638" s="1" customFormat="1" ht="15.95" customHeight="1" x14ac:dyDescent="0.25"/>
    <row r="4639" s="1" customFormat="1" ht="15.95" customHeight="1" x14ac:dyDescent="0.25"/>
    <row r="4640" s="1" customFormat="1" ht="15.95" customHeight="1" x14ac:dyDescent="0.25"/>
    <row r="4641" s="1" customFormat="1" ht="15.95" customHeight="1" x14ac:dyDescent="0.25"/>
    <row r="4642" s="1" customFormat="1" ht="15.95" customHeight="1" x14ac:dyDescent="0.25"/>
    <row r="4643" s="1" customFormat="1" ht="15.95" customHeight="1" x14ac:dyDescent="0.25"/>
    <row r="4644" s="1" customFormat="1" ht="15.95" customHeight="1" x14ac:dyDescent="0.25"/>
    <row r="4645" s="1" customFormat="1" ht="15.95" customHeight="1" x14ac:dyDescent="0.25"/>
    <row r="4646" s="1" customFormat="1" ht="15.95" customHeight="1" x14ac:dyDescent="0.25"/>
    <row r="4647" s="1" customFormat="1" ht="15.95" customHeight="1" x14ac:dyDescent="0.25"/>
    <row r="4648" s="1" customFormat="1" ht="15.95" customHeight="1" x14ac:dyDescent="0.25"/>
    <row r="4649" s="1" customFormat="1" ht="15.95" customHeight="1" x14ac:dyDescent="0.25"/>
    <row r="4650" s="1" customFormat="1" ht="15.95" customHeight="1" x14ac:dyDescent="0.25"/>
    <row r="4651" s="1" customFormat="1" ht="15.95" customHeight="1" x14ac:dyDescent="0.25"/>
    <row r="4652" s="1" customFormat="1" ht="15.95" customHeight="1" x14ac:dyDescent="0.25"/>
    <row r="4653" s="1" customFormat="1" ht="15.95" customHeight="1" x14ac:dyDescent="0.25"/>
    <row r="4654" s="1" customFormat="1" ht="15.95" customHeight="1" x14ac:dyDescent="0.25"/>
    <row r="4655" s="1" customFormat="1" ht="15.95" customHeight="1" x14ac:dyDescent="0.25"/>
    <row r="4656" s="1" customFormat="1" ht="15.95" customHeight="1" x14ac:dyDescent="0.25"/>
    <row r="4657" s="1" customFormat="1" ht="15.95" customHeight="1" x14ac:dyDescent="0.25"/>
    <row r="4658" s="1" customFormat="1" ht="15.95" customHeight="1" x14ac:dyDescent="0.25"/>
    <row r="4659" s="1" customFormat="1" ht="15.95" customHeight="1" x14ac:dyDescent="0.25"/>
    <row r="4660" s="1" customFormat="1" ht="15.95" customHeight="1" x14ac:dyDescent="0.25"/>
    <row r="4661" s="1" customFormat="1" ht="15.95" customHeight="1" x14ac:dyDescent="0.25"/>
    <row r="4662" s="1" customFormat="1" ht="15.95" customHeight="1" x14ac:dyDescent="0.25"/>
    <row r="4663" s="1" customFormat="1" ht="15.95" customHeight="1" x14ac:dyDescent="0.25"/>
    <row r="4664" s="1" customFormat="1" ht="15.95" customHeight="1" x14ac:dyDescent="0.25"/>
    <row r="4665" s="1" customFormat="1" ht="15.95" customHeight="1" x14ac:dyDescent="0.25"/>
    <row r="4666" s="1" customFormat="1" ht="15.95" customHeight="1" x14ac:dyDescent="0.25"/>
    <row r="4667" s="1" customFormat="1" ht="15.95" customHeight="1" x14ac:dyDescent="0.25"/>
    <row r="4668" s="1" customFormat="1" ht="15.95" customHeight="1" x14ac:dyDescent="0.25"/>
    <row r="4669" s="1" customFormat="1" ht="15.95" customHeight="1" x14ac:dyDescent="0.25"/>
    <row r="4670" s="1" customFormat="1" ht="15.95" customHeight="1" x14ac:dyDescent="0.25"/>
    <row r="4671" s="1" customFormat="1" ht="15.95" customHeight="1" x14ac:dyDescent="0.25"/>
    <row r="4672" s="1" customFormat="1" ht="15.95" customHeight="1" x14ac:dyDescent="0.25"/>
    <row r="4673" s="1" customFormat="1" ht="15.95" customHeight="1" x14ac:dyDescent="0.25"/>
    <row r="4674" s="1" customFormat="1" ht="15.95" customHeight="1" x14ac:dyDescent="0.25"/>
    <row r="4675" s="1" customFormat="1" ht="15.95" customHeight="1" x14ac:dyDescent="0.25"/>
    <row r="4676" s="1" customFormat="1" ht="15.95" customHeight="1" x14ac:dyDescent="0.25"/>
    <row r="4677" s="1" customFormat="1" ht="15.95" customHeight="1" x14ac:dyDescent="0.25"/>
    <row r="4678" s="1" customFormat="1" ht="15.95" customHeight="1" x14ac:dyDescent="0.25"/>
    <row r="4679" s="1" customFormat="1" ht="15.95" customHeight="1" x14ac:dyDescent="0.25"/>
    <row r="4680" s="1" customFormat="1" ht="15.95" customHeight="1" x14ac:dyDescent="0.25"/>
    <row r="4681" s="1" customFormat="1" ht="15.95" customHeight="1" x14ac:dyDescent="0.25"/>
    <row r="4682" s="1" customFormat="1" ht="15.95" customHeight="1" x14ac:dyDescent="0.25"/>
    <row r="4683" s="1" customFormat="1" ht="15.95" customHeight="1" x14ac:dyDescent="0.25"/>
    <row r="4684" s="1" customFormat="1" ht="15.95" customHeight="1" x14ac:dyDescent="0.25"/>
    <row r="4685" s="1" customFormat="1" ht="15.95" customHeight="1" x14ac:dyDescent="0.25"/>
    <row r="4686" s="1" customFormat="1" ht="15.95" customHeight="1" x14ac:dyDescent="0.25"/>
    <row r="4687" s="1" customFormat="1" ht="15.95" customHeight="1" x14ac:dyDescent="0.25"/>
    <row r="4688" s="1" customFormat="1" ht="15.95" customHeight="1" x14ac:dyDescent="0.25"/>
    <row r="4689" s="1" customFormat="1" ht="15.95" customHeight="1" x14ac:dyDescent="0.25"/>
    <row r="4690" s="1" customFormat="1" ht="15.95" customHeight="1" x14ac:dyDescent="0.25"/>
    <row r="4691" s="1" customFormat="1" ht="15.95" customHeight="1" x14ac:dyDescent="0.25"/>
    <row r="4692" s="1" customFormat="1" ht="15.95" customHeight="1" x14ac:dyDescent="0.25"/>
    <row r="4693" s="1" customFormat="1" ht="15.95" customHeight="1" x14ac:dyDescent="0.25"/>
    <row r="4694" s="1" customFormat="1" ht="15.95" customHeight="1" x14ac:dyDescent="0.25"/>
    <row r="4695" s="1" customFormat="1" ht="15.95" customHeight="1" x14ac:dyDescent="0.25"/>
    <row r="4696" s="1" customFormat="1" ht="15.95" customHeight="1" x14ac:dyDescent="0.25"/>
    <row r="4697" s="1" customFormat="1" ht="15.95" customHeight="1" x14ac:dyDescent="0.25"/>
    <row r="4698" s="1" customFormat="1" ht="15.95" customHeight="1" x14ac:dyDescent="0.25"/>
    <row r="4699" s="1" customFormat="1" ht="15.95" customHeight="1" x14ac:dyDescent="0.25"/>
    <row r="4700" s="1" customFormat="1" ht="15.95" customHeight="1" x14ac:dyDescent="0.25"/>
    <row r="4701" s="1" customFormat="1" ht="15.95" customHeight="1" x14ac:dyDescent="0.25"/>
    <row r="4702" s="1" customFormat="1" ht="15.95" customHeight="1" x14ac:dyDescent="0.25"/>
    <row r="4703" s="1" customFormat="1" ht="15.95" customHeight="1" x14ac:dyDescent="0.25"/>
    <row r="4704" s="1" customFormat="1" ht="15.95" customHeight="1" x14ac:dyDescent="0.25"/>
    <row r="4705" s="1" customFormat="1" ht="15.95" customHeight="1" x14ac:dyDescent="0.25"/>
    <row r="4706" s="1" customFormat="1" ht="15.95" customHeight="1" x14ac:dyDescent="0.25"/>
    <row r="4707" s="1" customFormat="1" ht="15.95" customHeight="1" x14ac:dyDescent="0.25"/>
    <row r="4708" s="1" customFormat="1" ht="15.95" customHeight="1" x14ac:dyDescent="0.25"/>
    <row r="4709" s="1" customFormat="1" ht="15.95" customHeight="1" x14ac:dyDescent="0.25"/>
    <row r="4710" s="1" customFormat="1" ht="15.95" customHeight="1" x14ac:dyDescent="0.25"/>
    <row r="4711" s="1" customFormat="1" ht="15.95" customHeight="1" x14ac:dyDescent="0.25"/>
    <row r="4712" s="1" customFormat="1" ht="15.95" customHeight="1" x14ac:dyDescent="0.25"/>
    <row r="4713" s="1" customFormat="1" ht="15.95" customHeight="1" x14ac:dyDescent="0.25"/>
    <row r="4714" s="1" customFormat="1" ht="15.95" customHeight="1" x14ac:dyDescent="0.25"/>
    <row r="4715" s="1" customFormat="1" ht="15.95" customHeight="1" x14ac:dyDescent="0.25"/>
    <row r="4716" s="1" customFormat="1" ht="15.95" customHeight="1" x14ac:dyDescent="0.25"/>
    <row r="4717" s="1" customFormat="1" ht="15.95" customHeight="1" x14ac:dyDescent="0.25"/>
    <row r="4718" s="1" customFormat="1" ht="15.95" customHeight="1" x14ac:dyDescent="0.25"/>
    <row r="4719" s="1" customFormat="1" ht="15.95" customHeight="1" x14ac:dyDescent="0.25"/>
    <row r="4720" s="1" customFormat="1" ht="15.95" customHeight="1" x14ac:dyDescent="0.25"/>
    <row r="4721" s="1" customFormat="1" ht="15.95" customHeight="1" x14ac:dyDescent="0.25"/>
    <row r="4722" s="1" customFormat="1" ht="15.95" customHeight="1" x14ac:dyDescent="0.25"/>
    <row r="4723" s="1" customFormat="1" ht="15.95" customHeight="1" x14ac:dyDescent="0.25"/>
    <row r="4724" s="1" customFormat="1" ht="15.95" customHeight="1" x14ac:dyDescent="0.25"/>
    <row r="4725" s="1" customFormat="1" ht="15.95" customHeight="1" x14ac:dyDescent="0.25"/>
    <row r="4726" s="1" customFormat="1" ht="15.95" customHeight="1" x14ac:dyDescent="0.25"/>
    <row r="4727" s="1" customFormat="1" ht="15.95" customHeight="1" x14ac:dyDescent="0.25"/>
    <row r="4728" s="1" customFormat="1" ht="15.95" customHeight="1" x14ac:dyDescent="0.25"/>
    <row r="4729" s="1" customFormat="1" ht="15.95" customHeight="1" x14ac:dyDescent="0.25"/>
    <row r="4730" s="1" customFormat="1" ht="15.95" customHeight="1" x14ac:dyDescent="0.25"/>
    <row r="4731" s="1" customFormat="1" ht="15.95" customHeight="1" x14ac:dyDescent="0.25"/>
    <row r="4732" s="1" customFormat="1" ht="15.95" customHeight="1" x14ac:dyDescent="0.25"/>
    <row r="4733" s="1" customFormat="1" ht="15.95" customHeight="1" x14ac:dyDescent="0.25"/>
    <row r="4734" s="1" customFormat="1" ht="15.95" customHeight="1" x14ac:dyDescent="0.25"/>
    <row r="4735" s="1" customFormat="1" ht="15.95" customHeight="1" x14ac:dyDescent="0.25"/>
    <row r="4736" s="1" customFormat="1" ht="15.95" customHeight="1" x14ac:dyDescent="0.25"/>
    <row r="4737" s="1" customFormat="1" ht="15.95" customHeight="1" x14ac:dyDescent="0.25"/>
    <row r="4738" s="1" customFormat="1" ht="15.95" customHeight="1" x14ac:dyDescent="0.25"/>
    <row r="4739" s="1" customFormat="1" ht="15.95" customHeight="1" x14ac:dyDescent="0.25"/>
    <row r="4740" s="1" customFormat="1" ht="15.95" customHeight="1" x14ac:dyDescent="0.25"/>
    <row r="4741" s="1" customFormat="1" ht="15.95" customHeight="1" x14ac:dyDescent="0.25"/>
    <row r="4742" s="1" customFormat="1" ht="15.95" customHeight="1" x14ac:dyDescent="0.25"/>
    <row r="4743" s="1" customFormat="1" ht="15.95" customHeight="1" x14ac:dyDescent="0.25"/>
    <row r="4744" s="1" customFormat="1" ht="15.95" customHeight="1" x14ac:dyDescent="0.25"/>
    <row r="4745" s="1" customFormat="1" ht="15.95" customHeight="1" x14ac:dyDescent="0.25"/>
    <row r="4746" s="1" customFormat="1" ht="15.95" customHeight="1" x14ac:dyDescent="0.25"/>
    <row r="4747" s="1" customFormat="1" ht="15.95" customHeight="1" x14ac:dyDescent="0.25"/>
    <row r="4748" s="1" customFormat="1" ht="15.95" customHeight="1" x14ac:dyDescent="0.25"/>
    <row r="4749" s="1" customFormat="1" ht="15.95" customHeight="1" x14ac:dyDescent="0.25"/>
    <row r="4750" s="1" customFormat="1" ht="15.95" customHeight="1" x14ac:dyDescent="0.25"/>
    <row r="4751" s="1" customFormat="1" ht="15.95" customHeight="1" x14ac:dyDescent="0.25"/>
    <row r="4752" s="1" customFormat="1" ht="15.95" customHeight="1" x14ac:dyDescent="0.25"/>
    <row r="4753" s="1" customFormat="1" ht="15.95" customHeight="1" x14ac:dyDescent="0.25"/>
    <row r="4754" s="1" customFormat="1" ht="15.95" customHeight="1" x14ac:dyDescent="0.25"/>
    <row r="4755" s="1" customFormat="1" ht="15.95" customHeight="1" x14ac:dyDescent="0.25"/>
    <row r="4756" s="1" customFormat="1" ht="15.95" customHeight="1" x14ac:dyDescent="0.25"/>
    <row r="4757" s="1" customFormat="1" ht="15.95" customHeight="1" x14ac:dyDescent="0.25"/>
    <row r="4758" s="1" customFormat="1" ht="15.95" customHeight="1" x14ac:dyDescent="0.25"/>
    <row r="4759" s="1" customFormat="1" ht="15.95" customHeight="1" x14ac:dyDescent="0.25"/>
    <row r="4760" s="1" customFormat="1" ht="15.95" customHeight="1" x14ac:dyDescent="0.25"/>
    <row r="4761" s="1" customFormat="1" ht="15.95" customHeight="1" x14ac:dyDescent="0.25"/>
    <row r="4762" s="1" customFormat="1" ht="15.95" customHeight="1" x14ac:dyDescent="0.25"/>
    <row r="4763" s="1" customFormat="1" ht="15.95" customHeight="1" x14ac:dyDescent="0.25"/>
    <row r="4764" s="1" customFormat="1" ht="15.95" customHeight="1" x14ac:dyDescent="0.25"/>
    <row r="4765" s="1" customFormat="1" ht="15.95" customHeight="1" x14ac:dyDescent="0.25"/>
    <row r="4766" s="1" customFormat="1" ht="15.95" customHeight="1" x14ac:dyDescent="0.25"/>
    <row r="4767" s="1" customFormat="1" ht="15.95" customHeight="1" x14ac:dyDescent="0.25"/>
    <row r="4768" s="1" customFormat="1" ht="15.95" customHeight="1" x14ac:dyDescent="0.25"/>
    <row r="4769" s="1" customFormat="1" ht="15.95" customHeight="1" x14ac:dyDescent="0.25"/>
    <row r="4770" s="1" customFormat="1" ht="15.95" customHeight="1" x14ac:dyDescent="0.25"/>
    <row r="4771" s="1" customFormat="1" ht="15.95" customHeight="1" x14ac:dyDescent="0.25"/>
    <row r="4772" s="1" customFormat="1" ht="15.95" customHeight="1" x14ac:dyDescent="0.25"/>
    <row r="4773" s="1" customFormat="1" ht="15.95" customHeight="1" x14ac:dyDescent="0.25"/>
    <row r="4774" s="1" customFormat="1" ht="15.95" customHeight="1" x14ac:dyDescent="0.25"/>
    <row r="4775" s="1" customFormat="1" ht="15.95" customHeight="1" x14ac:dyDescent="0.25"/>
    <row r="4776" s="1" customFormat="1" ht="15.95" customHeight="1" x14ac:dyDescent="0.25"/>
    <row r="4777" s="1" customFormat="1" ht="15.95" customHeight="1" x14ac:dyDescent="0.25"/>
    <row r="4778" s="1" customFormat="1" ht="15.95" customHeight="1" x14ac:dyDescent="0.25"/>
    <row r="4779" s="1" customFormat="1" ht="15.95" customHeight="1" x14ac:dyDescent="0.25"/>
    <row r="4780" s="1" customFormat="1" ht="15.95" customHeight="1" x14ac:dyDescent="0.25"/>
    <row r="4781" s="1" customFormat="1" ht="15.95" customHeight="1" x14ac:dyDescent="0.25"/>
    <row r="4782" s="1" customFormat="1" ht="15.95" customHeight="1" x14ac:dyDescent="0.25"/>
    <row r="4783" s="1" customFormat="1" ht="15.95" customHeight="1" x14ac:dyDescent="0.25"/>
    <row r="4784" s="1" customFormat="1" ht="15.95" customHeight="1" x14ac:dyDescent="0.25"/>
    <row r="4785" s="1" customFormat="1" ht="15.95" customHeight="1" x14ac:dyDescent="0.25"/>
    <row r="4786" s="1" customFormat="1" ht="15.95" customHeight="1" x14ac:dyDescent="0.25"/>
    <row r="4787" s="1" customFormat="1" ht="15.95" customHeight="1" x14ac:dyDescent="0.25"/>
    <row r="4788" s="1" customFormat="1" ht="15.95" customHeight="1" x14ac:dyDescent="0.25"/>
    <row r="4789" s="1" customFormat="1" ht="15.95" customHeight="1" x14ac:dyDescent="0.25"/>
    <row r="4790" s="1" customFormat="1" ht="15.95" customHeight="1" x14ac:dyDescent="0.25"/>
    <row r="4791" s="1" customFormat="1" ht="15.95" customHeight="1" x14ac:dyDescent="0.25"/>
    <row r="4792" s="1" customFormat="1" ht="15.95" customHeight="1" x14ac:dyDescent="0.25"/>
    <row r="4793" s="1" customFormat="1" ht="15.95" customHeight="1" x14ac:dyDescent="0.25"/>
    <row r="4794" s="1" customFormat="1" ht="15.95" customHeight="1" x14ac:dyDescent="0.25"/>
    <row r="4795" s="1" customFormat="1" ht="15.95" customHeight="1" x14ac:dyDescent="0.25"/>
    <row r="4796" s="1" customFormat="1" ht="15.95" customHeight="1" x14ac:dyDescent="0.25"/>
    <row r="4797" s="1" customFormat="1" ht="15.95" customHeight="1" x14ac:dyDescent="0.25"/>
    <row r="4798" s="1" customFormat="1" ht="15.95" customHeight="1" x14ac:dyDescent="0.25"/>
    <row r="4799" s="1" customFormat="1" ht="15.95" customHeight="1" x14ac:dyDescent="0.25"/>
    <row r="4800" s="1" customFormat="1" ht="15.95" customHeight="1" x14ac:dyDescent="0.25"/>
    <row r="4801" s="1" customFormat="1" ht="15.95" customHeight="1" x14ac:dyDescent="0.25"/>
    <row r="4802" s="1" customFormat="1" ht="15.95" customHeight="1" x14ac:dyDescent="0.25"/>
    <row r="4803" s="1" customFormat="1" ht="15.95" customHeight="1" x14ac:dyDescent="0.25"/>
    <row r="4804" s="1" customFormat="1" ht="15.95" customHeight="1" x14ac:dyDescent="0.25"/>
    <row r="4805" s="1" customFormat="1" ht="15.95" customHeight="1" x14ac:dyDescent="0.25"/>
    <row r="4806" s="1" customFormat="1" ht="15.95" customHeight="1" x14ac:dyDescent="0.25"/>
    <row r="4807" s="1" customFormat="1" ht="15.95" customHeight="1" x14ac:dyDescent="0.25"/>
    <row r="4808" s="1" customFormat="1" ht="15.95" customHeight="1" x14ac:dyDescent="0.25"/>
    <row r="4809" s="1" customFormat="1" ht="15.95" customHeight="1" x14ac:dyDescent="0.25"/>
    <row r="4810" s="1" customFormat="1" ht="15.95" customHeight="1" x14ac:dyDescent="0.25"/>
    <row r="4811" s="1" customFormat="1" ht="15.95" customHeight="1" x14ac:dyDescent="0.25"/>
    <row r="4812" s="1" customFormat="1" ht="15.95" customHeight="1" x14ac:dyDescent="0.25"/>
    <row r="4813" s="1" customFormat="1" ht="15.95" customHeight="1" x14ac:dyDescent="0.25"/>
    <row r="4814" s="1" customFormat="1" ht="15.95" customHeight="1" x14ac:dyDescent="0.25"/>
    <row r="4815" s="1" customFormat="1" ht="15.95" customHeight="1" x14ac:dyDescent="0.25"/>
    <row r="4816" s="1" customFormat="1" ht="15.95" customHeight="1" x14ac:dyDescent="0.25"/>
    <row r="4817" s="1" customFormat="1" ht="15.95" customHeight="1" x14ac:dyDescent="0.25"/>
    <row r="4818" s="1" customFormat="1" ht="15.95" customHeight="1" x14ac:dyDescent="0.25"/>
    <row r="4819" s="1" customFormat="1" ht="15.95" customHeight="1" x14ac:dyDescent="0.25"/>
    <row r="4820" s="1" customFormat="1" ht="15.95" customHeight="1" x14ac:dyDescent="0.25"/>
    <row r="4821" s="1" customFormat="1" ht="15.95" customHeight="1" x14ac:dyDescent="0.25"/>
    <row r="4822" s="1" customFormat="1" ht="15.95" customHeight="1" x14ac:dyDescent="0.25"/>
    <row r="4823" s="1" customFormat="1" ht="15.95" customHeight="1" x14ac:dyDescent="0.25"/>
    <row r="4824" s="1" customFormat="1" ht="15.95" customHeight="1" x14ac:dyDescent="0.25"/>
    <row r="4825" s="1" customFormat="1" ht="15.95" customHeight="1" x14ac:dyDescent="0.25"/>
    <row r="4826" s="1" customFormat="1" ht="15.95" customHeight="1" x14ac:dyDescent="0.25"/>
    <row r="4827" s="1" customFormat="1" ht="15.95" customHeight="1" x14ac:dyDescent="0.25"/>
    <row r="4828" s="1" customFormat="1" ht="15.95" customHeight="1" x14ac:dyDescent="0.25"/>
    <row r="4829" s="1" customFormat="1" ht="15.95" customHeight="1" x14ac:dyDescent="0.25"/>
    <row r="4830" s="1" customFormat="1" ht="15.95" customHeight="1" x14ac:dyDescent="0.25"/>
    <row r="4831" s="1" customFormat="1" ht="15.95" customHeight="1" x14ac:dyDescent="0.25"/>
    <row r="4832" s="1" customFormat="1" ht="15.95" customHeight="1" x14ac:dyDescent="0.25"/>
    <row r="4833" s="1" customFormat="1" ht="15.95" customHeight="1" x14ac:dyDescent="0.25"/>
    <row r="4834" s="1" customFormat="1" ht="15.95" customHeight="1" x14ac:dyDescent="0.25"/>
    <row r="4835" s="1" customFormat="1" ht="15.95" customHeight="1" x14ac:dyDescent="0.25"/>
    <row r="4836" s="1" customFormat="1" ht="15.95" customHeight="1" x14ac:dyDescent="0.25"/>
    <row r="4837" s="1" customFormat="1" ht="15.95" customHeight="1" x14ac:dyDescent="0.25"/>
    <row r="4838" s="1" customFormat="1" ht="15.95" customHeight="1" x14ac:dyDescent="0.25"/>
    <row r="4839" s="1" customFormat="1" ht="15.95" customHeight="1" x14ac:dyDescent="0.25"/>
    <row r="4840" s="1" customFormat="1" ht="15.95" customHeight="1" x14ac:dyDescent="0.25"/>
    <row r="4841" s="1" customFormat="1" ht="15.95" customHeight="1" x14ac:dyDescent="0.25"/>
    <row r="4842" s="1" customFormat="1" ht="15.95" customHeight="1" x14ac:dyDescent="0.25"/>
    <row r="4843" s="1" customFormat="1" ht="15.95" customHeight="1" x14ac:dyDescent="0.25"/>
    <row r="4844" s="1" customFormat="1" ht="15.95" customHeight="1" x14ac:dyDescent="0.25"/>
    <row r="4845" s="1" customFormat="1" ht="15.95" customHeight="1" x14ac:dyDescent="0.25"/>
    <row r="4846" s="1" customFormat="1" ht="15.95" customHeight="1" x14ac:dyDescent="0.25"/>
    <row r="4847" s="1" customFormat="1" ht="15.95" customHeight="1" x14ac:dyDescent="0.25"/>
    <row r="4848" s="1" customFormat="1" ht="15.95" customHeight="1" x14ac:dyDescent="0.25"/>
    <row r="4849" s="1" customFormat="1" ht="15.95" customHeight="1" x14ac:dyDescent="0.25"/>
    <row r="4850" s="1" customFormat="1" ht="15.95" customHeight="1" x14ac:dyDescent="0.25"/>
    <row r="4851" s="1" customFormat="1" ht="15.95" customHeight="1" x14ac:dyDescent="0.25"/>
    <row r="4852" s="1" customFormat="1" ht="15.95" customHeight="1" x14ac:dyDescent="0.25"/>
    <row r="4853" s="1" customFormat="1" ht="15.95" customHeight="1" x14ac:dyDescent="0.25"/>
    <row r="4854" s="1" customFormat="1" ht="15.95" customHeight="1" x14ac:dyDescent="0.25"/>
    <row r="4855" s="1" customFormat="1" ht="15.95" customHeight="1" x14ac:dyDescent="0.25"/>
    <row r="4856" s="1" customFormat="1" ht="15.95" customHeight="1" x14ac:dyDescent="0.25"/>
    <row r="4857" s="1" customFormat="1" ht="15.95" customHeight="1" x14ac:dyDescent="0.25"/>
    <row r="4858" s="1" customFormat="1" ht="15.95" customHeight="1" x14ac:dyDescent="0.25"/>
    <row r="4859" s="1" customFormat="1" ht="15.95" customHeight="1" x14ac:dyDescent="0.25"/>
    <row r="4860" s="1" customFormat="1" ht="15.95" customHeight="1" x14ac:dyDescent="0.25"/>
    <row r="4861" s="1" customFormat="1" ht="15.95" customHeight="1" x14ac:dyDescent="0.25"/>
    <row r="4862" s="1" customFormat="1" ht="15.95" customHeight="1" x14ac:dyDescent="0.25"/>
    <row r="4863" s="1" customFormat="1" ht="15.95" customHeight="1" x14ac:dyDescent="0.25"/>
    <row r="4864" s="1" customFormat="1" ht="15.95" customHeight="1" x14ac:dyDescent="0.25"/>
    <row r="4865" s="1" customFormat="1" ht="15.95" customHeight="1" x14ac:dyDescent="0.25"/>
    <row r="4866" s="1" customFormat="1" ht="15.95" customHeight="1" x14ac:dyDescent="0.25"/>
    <row r="4867" s="1" customFormat="1" ht="15.95" customHeight="1" x14ac:dyDescent="0.25"/>
    <row r="4868" s="1" customFormat="1" ht="15.95" customHeight="1" x14ac:dyDescent="0.25"/>
    <row r="4869" s="1" customFormat="1" ht="15.95" customHeight="1" x14ac:dyDescent="0.25"/>
    <row r="4870" s="1" customFormat="1" ht="15.95" customHeight="1" x14ac:dyDescent="0.25"/>
    <row r="4871" s="1" customFormat="1" ht="15.95" customHeight="1" x14ac:dyDescent="0.25"/>
    <row r="4872" s="1" customFormat="1" ht="15.95" customHeight="1" x14ac:dyDescent="0.25"/>
    <row r="4873" s="1" customFormat="1" ht="15.95" customHeight="1" x14ac:dyDescent="0.25"/>
    <row r="4874" s="1" customFormat="1" ht="15.95" customHeight="1" x14ac:dyDescent="0.25"/>
    <row r="4875" s="1" customFormat="1" ht="15.95" customHeight="1" x14ac:dyDescent="0.25"/>
    <row r="4876" s="1" customFormat="1" ht="15.95" customHeight="1" x14ac:dyDescent="0.25"/>
    <row r="4877" s="1" customFormat="1" ht="15.95" customHeight="1" x14ac:dyDescent="0.25"/>
    <row r="4878" s="1" customFormat="1" ht="15.95" customHeight="1" x14ac:dyDescent="0.25"/>
    <row r="4879" s="1" customFormat="1" ht="15.95" customHeight="1" x14ac:dyDescent="0.25"/>
    <row r="4880" s="1" customFormat="1" ht="15.95" customHeight="1" x14ac:dyDescent="0.25"/>
    <row r="4881" s="1" customFormat="1" ht="15.95" customHeight="1" x14ac:dyDescent="0.25"/>
    <row r="4882" s="1" customFormat="1" ht="15.95" customHeight="1" x14ac:dyDescent="0.25"/>
    <row r="4883" s="1" customFormat="1" ht="15.95" customHeight="1" x14ac:dyDescent="0.25"/>
    <row r="4884" s="1" customFormat="1" ht="15.95" customHeight="1" x14ac:dyDescent="0.25"/>
    <row r="4885" s="1" customFormat="1" ht="15.95" customHeight="1" x14ac:dyDescent="0.25"/>
    <row r="4886" s="1" customFormat="1" ht="15.95" customHeight="1" x14ac:dyDescent="0.25"/>
    <row r="4887" s="1" customFormat="1" ht="15.95" customHeight="1" x14ac:dyDescent="0.25"/>
    <row r="4888" s="1" customFormat="1" ht="15.95" customHeight="1" x14ac:dyDescent="0.25"/>
    <row r="4889" s="1" customFormat="1" ht="15.95" customHeight="1" x14ac:dyDescent="0.25"/>
    <row r="4890" s="1" customFormat="1" ht="15.95" customHeight="1" x14ac:dyDescent="0.25"/>
    <row r="4891" s="1" customFormat="1" ht="15.95" customHeight="1" x14ac:dyDescent="0.25"/>
    <row r="4892" s="1" customFormat="1" ht="15.95" customHeight="1" x14ac:dyDescent="0.25"/>
    <row r="4893" s="1" customFormat="1" ht="15.95" customHeight="1" x14ac:dyDescent="0.25"/>
    <row r="4894" s="1" customFormat="1" ht="15.95" customHeight="1" x14ac:dyDescent="0.25"/>
    <row r="4895" s="1" customFormat="1" ht="15.95" customHeight="1" x14ac:dyDescent="0.25"/>
    <row r="4896" s="1" customFormat="1" ht="15.95" customHeight="1" x14ac:dyDescent="0.25"/>
    <row r="4897" s="1" customFormat="1" ht="15.95" customHeight="1" x14ac:dyDescent="0.25"/>
    <row r="4898" s="1" customFormat="1" ht="15.95" customHeight="1" x14ac:dyDescent="0.25"/>
    <row r="4899" s="1" customFormat="1" ht="15.95" customHeight="1" x14ac:dyDescent="0.25"/>
    <row r="4900" s="1" customFormat="1" ht="15.95" customHeight="1" x14ac:dyDescent="0.25"/>
    <row r="4901" s="1" customFormat="1" ht="15.95" customHeight="1" x14ac:dyDescent="0.25"/>
    <row r="4902" s="1" customFormat="1" ht="15.95" customHeight="1" x14ac:dyDescent="0.25"/>
    <row r="4903" s="1" customFormat="1" ht="15.95" customHeight="1" x14ac:dyDescent="0.25"/>
    <row r="4904" s="1" customFormat="1" ht="15.95" customHeight="1" x14ac:dyDescent="0.25"/>
    <row r="4905" s="1" customFormat="1" ht="15.95" customHeight="1" x14ac:dyDescent="0.25"/>
    <row r="4906" s="1" customFormat="1" ht="15.95" customHeight="1" x14ac:dyDescent="0.25"/>
    <row r="4907" s="1" customFormat="1" ht="15.95" customHeight="1" x14ac:dyDescent="0.25"/>
    <row r="4908" s="1" customFormat="1" ht="15.95" customHeight="1" x14ac:dyDescent="0.25"/>
    <row r="4909" s="1" customFormat="1" ht="15.95" customHeight="1" x14ac:dyDescent="0.25"/>
    <row r="4910" s="1" customFormat="1" ht="15.95" customHeight="1" x14ac:dyDescent="0.25"/>
    <row r="4911" s="1" customFormat="1" ht="15.95" customHeight="1" x14ac:dyDescent="0.25"/>
    <row r="4912" s="1" customFormat="1" ht="15.95" customHeight="1" x14ac:dyDescent="0.25"/>
    <row r="4913" s="1" customFormat="1" ht="15.95" customHeight="1" x14ac:dyDescent="0.25"/>
    <row r="4914" s="1" customFormat="1" ht="15.95" customHeight="1" x14ac:dyDescent="0.25"/>
    <row r="4915" s="1" customFormat="1" ht="15.95" customHeight="1" x14ac:dyDescent="0.25"/>
    <row r="4916" s="1" customFormat="1" ht="15.95" customHeight="1" x14ac:dyDescent="0.25"/>
    <row r="4917" s="1" customFormat="1" ht="15.95" customHeight="1" x14ac:dyDescent="0.25"/>
    <row r="4918" s="1" customFormat="1" ht="15.95" customHeight="1" x14ac:dyDescent="0.25"/>
    <row r="4919" s="1" customFormat="1" ht="15.95" customHeight="1" x14ac:dyDescent="0.25"/>
    <row r="4920" s="1" customFormat="1" ht="15.95" customHeight="1" x14ac:dyDescent="0.25"/>
    <row r="4921" s="1" customFormat="1" ht="15.95" customHeight="1" x14ac:dyDescent="0.25"/>
    <row r="4922" s="1" customFormat="1" ht="15.95" customHeight="1" x14ac:dyDescent="0.25"/>
    <row r="4923" s="1" customFormat="1" ht="15.95" customHeight="1" x14ac:dyDescent="0.25"/>
    <row r="4924" s="1" customFormat="1" ht="15.95" customHeight="1" x14ac:dyDescent="0.25"/>
    <row r="4925" s="1" customFormat="1" ht="15.95" customHeight="1" x14ac:dyDescent="0.25"/>
    <row r="4926" s="1" customFormat="1" ht="15.95" customHeight="1" x14ac:dyDescent="0.25"/>
    <row r="4927" s="1" customFormat="1" ht="15.95" customHeight="1" x14ac:dyDescent="0.25"/>
    <row r="4928" s="1" customFormat="1" ht="15.95" customHeight="1" x14ac:dyDescent="0.25"/>
    <row r="4929" s="1" customFormat="1" ht="15.95" customHeight="1" x14ac:dyDescent="0.25"/>
    <row r="4930" s="1" customFormat="1" ht="15.95" customHeight="1" x14ac:dyDescent="0.25"/>
    <row r="4931" s="1" customFormat="1" ht="15.95" customHeight="1" x14ac:dyDescent="0.25"/>
    <row r="4932" s="1" customFormat="1" ht="15.95" customHeight="1" x14ac:dyDescent="0.25"/>
    <row r="4933" s="1" customFormat="1" ht="15.95" customHeight="1" x14ac:dyDescent="0.25"/>
    <row r="4934" s="1" customFormat="1" ht="15.95" customHeight="1" x14ac:dyDescent="0.25"/>
    <row r="4935" s="1" customFormat="1" ht="15.95" customHeight="1" x14ac:dyDescent="0.25"/>
    <row r="4936" s="1" customFormat="1" ht="15.95" customHeight="1" x14ac:dyDescent="0.25"/>
    <row r="4937" s="1" customFormat="1" ht="15.95" customHeight="1" x14ac:dyDescent="0.25"/>
    <row r="4938" s="1" customFormat="1" ht="15.95" customHeight="1" x14ac:dyDescent="0.25"/>
    <row r="4939" s="1" customFormat="1" ht="15.95" customHeight="1" x14ac:dyDescent="0.25"/>
    <row r="4940" s="1" customFormat="1" ht="15.95" customHeight="1" x14ac:dyDescent="0.25"/>
    <row r="4941" s="1" customFormat="1" ht="15.95" customHeight="1" x14ac:dyDescent="0.25"/>
    <row r="4942" s="1" customFormat="1" ht="15.95" customHeight="1" x14ac:dyDescent="0.25"/>
    <row r="4943" s="1" customFormat="1" ht="15.95" customHeight="1" x14ac:dyDescent="0.25"/>
    <row r="4944" s="1" customFormat="1" ht="15.95" customHeight="1" x14ac:dyDescent="0.25"/>
    <row r="4945" s="1" customFormat="1" ht="15.95" customHeight="1" x14ac:dyDescent="0.25"/>
    <row r="4946" s="1" customFormat="1" ht="15.95" customHeight="1" x14ac:dyDescent="0.25"/>
    <row r="4947" s="1" customFormat="1" ht="15.95" customHeight="1" x14ac:dyDescent="0.25"/>
    <row r="4948" s="1" customFormat="1" ht="15.95" customHeight="1" x14ac:dyDescent="0.25"/>
    <row r="4949" s="1" customFormat="1" ht="15.95" customHeight="1" x14ac:dyDescent="0.25"/>
    <row r="4950" s="1" customFormat="1" ht="15.95" customHeight="1" x14ac:dyDescent="0.25"/>
    <row r="4951" s="1" customFormat="1" ht="15.95" customHeight="1" x14ac:dyDescent="0.25"/>
    <row r="4952" s="1" customFormat="1" ht="15.95" customHeight="1" x14ac:dyDescent="0.25"/>
    <row r="4953" s="1" customFormat="1" ht="15.95" customHeight="1" x14ac:dyDescent="0.25"/>
    <row r="4954" s="1" customFormat="1" ht="15.95" customHeight="1" x14ac:dyDescent="0.25"/>
    <row r="4955" s="1" customFormat="1" ht="15.95" customHeight="1" x14ac:dyDescent="0.25"/>
    <row r="4956" s="1" customFormat="1" ht="15.95" customHeight="1" x14ac:dyDescent="0.25"/>
    <row r="4957" s="1" customFormat="1" ht="15.95" customHeight="1" x14ac:dyDescent="0.25"/>
    <row r="4958" s="1" customFormat="1" ht="15.95" customHeight="1" x14ac:dyDescent="0.25"/>
    <row r="4959" s="1" customFormat="1" ht="15.95" customHeight="1" x14ac:dyDescent="0.25"/>
    <row r="4960" s="1" customFormat="1" ht="15.95" customHeight="1" x14ac:dyDescent="0.25"/>
    <row r="4961" s="1" customFormat="1" ht="15.95" customHeight="1" x14ac:dyDescent="0.25"/>
    <row r="4962" s="1" customFormat="1" ht="15.95" customHeight="1" x14ac:dyDescent="0.25"/>
    <row r="4963" s="1" customFormat="1" ht="15.95" customHeight="1" x14ac:dyDescent="0.25"/>
    <row r="4964" s="1" customFormat="1" ht="15.95" customHeight="1" x14ac:dyDescent="0.25"/>
    <row r="4965" s="1" customFormat="1" ht="15.95" customHeight="1" x14ac:dyDescent="0.25"/>
    <row r="4966" s="1" customFormat="1" ht="15.95" customHeight="1" x14ac:dyDescent="0.25"/>
    <row r="4967" s="1" customFormat="1" ht="15.95" customHeight="1" x14ac:dyDescent="0.25"/>
    <row r="4968" s="1" customFormat="1" ht="15.95" customHeight="1" x14ac:dyDescent="0.25"/>
    <row r="4969" s="1" customFormat="1" ht="15.95" customHeight="1" x14ac:dyDescent="0.25"/>
    <row r="4970" s="1" customFormat="1" ht="15.95" customHeight="1" x14ac:dyDescent="0.25"/>
    <row r="4971" s="1" customFormat="1" ht="15.95" customHeight="1" x14ac:dyDescent="0.25"/>
    <row r="4972" s="1" customFormat="1" ht="15.95" customHeight="1" x14ac:dyDescent="0.25"/>
    <row r="4973" s="1" customFormat="1" ht="15.95" customHeight="1" x14ac:dyDescent="0.25"/>
    <row r="4974" s="1" customFormat="1" ht="15.95" customHeight="1" x14ac:dyDescent="0.25"/>
    <row r="4975" s="1" customFormat="1" ht="15.95" customHeight="1" x14ac:dyDescent="0.25"/>
    <row r="4976" s="1" customFormat="1" ht="15.95" customHeight="1" x14ac:dyDescent="0.25"/>
    <row r="4977" s="1" customFormat="1" ht="15.95" customHeight="1" x14ac:dyDescent="0.25"/>
    <row r="4978" s="1" customFormat="1" ht="15.95" customHeight="1" x14ac:dyDescent="0.25"/>
    <row r="4979" s="1" customFormat="1" ht="15.95" customHeight="1" x14ac:dyDescent="0.25"/>
    <row r="4980" s="1" customFormat="1" ht="15.95" customHeight="1" x14ac:dyDescent="0.25"/>
    <row r="4981" s="1" customFormat="1" ht="15.95" customHeight="1" x14ac:dyDescent="0.25"/>
    <row r="4982" s="1" customFormat="1" ht="15.95" customHeight="1" x14ac:dyDescent="0.25"/>
    <row r="4983" s="1" customFormat="1" ht="15.95" customHeight="1" x14ac:dyDescent="0.25"/>
    <row r="4984" s="1" customFormat="1" ht="15.95" customHeight="1" x14ac:dyDescent="0.25"/>
    <row r="4985" s="1" customFormat="1" ht="15.95" customHeight="1" x14ac:dyDescent="0.25"/>
    <row r="4986" s="1" customFormat="1" ht="15.95" customHeight="1" x14ac:dyDescent="0.25"/>
    <row r="4987" s="1" customFormat="1" ht="15.95" customHeight="1" x14ac:dyDescent="0.25"/>
    <row r="4988" s="1" customFormat="1" ht="15.95" customHeight="1" x14ac:dyDescent="0.25"/>
    <row r="4989" s="1" customFormat="1" ht="15.95" customHeight="1" x14ac:dyDescent="0.25"/>
    <row r="4990" s="1" customFormat="1" ht="15.95" customHeight="1" x14ac:dyDescent="0.25"/>
    <row r="4991" s="1" customFormat="1" ht="15.95" customHeight="1" x14ac:dyDescent="0.25"/>
    <row r="4992" s="1" customFormat="1" ht="15.95" customHeight="1" x14ac:dyDescent="0.25"/>
    <row r="4993" s="1" customFormat="1" ht="15.95" customHeight="1" x14ac:dyDescent="0.25"/>
    <row r="4994" s="1" customFormat="1" ht="15.95" customHeight="1" x14ac:dyDescent="0.25"/>
    <row r="4995" s="1" customFormat="1" ht="15.95" customHeight="1" x14ac:dyDescent="0.25"/>
    <row r="4996" s="1" customFormat="1" ht="15.95" customHeight="1" x14ac:dyDescent="0.25"/>
    <row r="4997" s="1" customFormat="1" ht="15.95" customHeight="1" x14ac:dyDescent="0.25"/>
    <row r="4998" s="1" customFormat="1" ht="15.95" customHeight="1" x14ac:dyDescent="0.25"/>
    <row r="4999" s="1" customFormat="1" ht="15.95" customHeight="1" x14ac:dyDescent="0.25"/>
    <row r="5000" s="1" customFormat="1" ht="15.95" customHeight="1" x14ac:dyDescent="0.25"/>
    <row r="5001" s="1" customFormat="1" ht="15.95" customHeight="1" x14ac:dyDescent="0.25"/>
    <row r="5002" s="1" customFormat="1" ht="15.95" customHeight="1" x14ac:dyDescent="0.25"/>
    <row r="5003" s="1" customFormat="1" ht="15.95" customHeight="1" x14ac:dyDescent="0.25"/>
    <row r="5004" s="1" customFormat="1" ht="15.95" customHeight="1" x14ac:dyDescent="0.25"/>
    <row r="5005" s="1" customFormat="1" ht="15.95" customHeight="1" x14ac:dyDescent="0.25"/>
    <row r="5006" s="1" customFormat="1" ht="15.95" customHeight="1" x14ac:dyDescent="0.25"/>
    <row r="5007" s="1" customFormat="1" ht="15.95" customHeight="1" x14ac:dyDescent="0.25"/>
    <row r="5008" s="1" customFormat="1" ht="15.95" customHeight="1" x14ac:dyDescent="0.25"/>
    <row r="5009" s="1" customFormat="1" ht="15.95" customHeight="1" x14ac:dyDescent="0.25"/>
    <row r="5010" s="1" customFormat="1" ht="15.95" customHeight="1" x14ac:dyDescent="0.25"/>
    <row r="5011" s="1" customFormat="1" ht="15.95" customHeight="1" x14ac:dyDescent="0.25"/>
    <row r="5012" s="1" customFormat="1" ht="15.95" customHeight="1" x14ac:dyDescent="0.25"/>
    <row r="5013" s="1" customFormat="1" ht="15.95" customHeight="1" x14ac:dyDescent="0.25"/>
    <row r="5014" s="1" customFormat="1" ht="15.95" customHeight="1" x14ac:dyDescent="0.25"/>
    <row r="5015" s="1" customFormat="1" ht="15.95" customHeight="1" x14ac:dyDescent="0.25"/>
    <row r="5016" s="1" customFormat="1" ht="15.95" customHeight="1" x14ac:dyDescent="0.25"/>
    <row r="5017" s="1" customFormat="1" ht="15.95" customHeight="1" x14ac:dyDescent="0.25"/>
    <row r="5018" s="1" customFormat="1" ht="15.95" customHeight="1" x14ac:dyDescent="0.25"/>
    <row r="5019" s="1" customFormat="1" ht="15.95" customHeight="1" x14ac:dyDescent="0.25"/>
    <row r="5020" s="1" customFormat="1" ht="15.95" customHeight="1" x14ac:dyDescent="0.25"/>
    <row r="5021" s="1" customFormat="1" ht="15.95" customHeight="1" x14ac:dyDescent="0.25"/>
    <row r="5022" s="1" customFormat="1" ht="15.95" customHeight="1" x14ac:dyDescent="0.25"/>
    <row r="5023" s="1" customFormat="1" ht="15.95" customHeight="1" x14ac:dyDescent="0.25"/>
    <row r="5024" s="1" customFormat="1" ht="15.95" customHeight="1" x14ac:dyDescent="0.25"/>
    <row r="5025" s="1" customFormat="1" ht="15.95" customHeight="1" x14ac:dyDescent="0.25"/>
    <row r="5026" s="1" customFormat="1" ht="15.95" customHeight="1" x14ac:dyDescent="0.25"/>
    <row r="5027" s="1" customFormat="1" ht="15.95" customHeight="1" x14ac:dyDescent="0.25"/>
    <row r="5028" s="1" customFormat="1" ht="15.95" customHeight="1" x14ac:dyDescent="0.25"/>
    <row r="5029" s="1" customFormat="1" ht="15.95" customHeight="1" x14ac:dyDescent="0.25"/>
    <row r="5030" s="1" customFormat="1" ht="15.95" customHeight="1" x14ac:dyDescent="0.25"/>
    <row r="5031" s="1" customFormat="1" ht="15.95" customHeight="1" x14ac:dyDescent="0.25"/>
    <row r="5032" s="1" customFormat="1" ht="15.95" customHeight="1" x14ac:dyDescent="0.25"/>
    <row r="5033" s="1" customFormat="1" ht="15.95" customHeight="1" x14ac:dyDescent="0.25"/>
    <row r="5034" s="1" customFormat="1" ht="15.95" customHeight="1" x14ac:dyDescent="0.25"/>
    <row r="5035" s="1" customFormat="1" ht="15.95" customHeight="1" x14ac:dyDescent="0.25"/>
    <row r="5036" s="1" customFormat="1" ht="15.95" customHeight="1" x14ac:dyDescent="0.25"/>
    <row r="5037" s="1" customFormat="1" ht="15.95" customHeight="1" x14ac:dyDescent="0.25"/>
    <row r="5038" s="1" customFormat="1" ht="15.95" customHeight="1" x14ac:dyDescent="0.25"/>
    <row r="5039" s="1" customFormat="1" ht="15.95" customHeight="1" x14ac:dyDescent="0.25"/>
    <row r="5040" s="1" customFormat="1" ht="15.95" customHeight="1" x14ac:dyDescent="0.25"/>
    <row r="5041" s="1" customFormat="1" ht="15.95" customHeight="1" x14ac:dyDescent="0.25"/>
    <row r="5042" s="1" customFormat="1" ht="15.95" customHeight="1" x14ac:dyDescent="0.25"/>
    <row r="5043" s="1" customFormat="1" ht="15.95" customHeight="1" x14ac:dyDescent="0.25"/>
    <row r="5044" s="1" customFormat="1" ht="15.95" customHeight="1" x14ac:dyDescent="0.25"/>
    <row r="5045" s="1" customFormat="1" ht="15.95" customHeight="1" x14ac:dyDescent="0.25"/>
    <row r="5046" s="1" customFormat="1" ht="15.95" customHeight="1" x14ac:dyDescent="0.25"/>
    <row r="5047" s="1" customFormat="1" ht="15.95" customHeight="1" x14ac:dyDescent="0.25"/>
    <row r="5048" s="1" customFormat="1" ht="15.95" customHeight="1" x14ac:dyDescent="0.25"/>
    <row r="5049" s="1" customFormat="1" ht="15.95" customHeight="1" x14ac:dyDescent="0.25"/>
    <row r="5050" s="1" customFormat="1" ht="15.95" customHeight="1" x14ac:dyDescent="0.25"/>
    <row r="5051" s="1" customFormat="1" ht="15.95" customHeight="1" x14ac:dyDescent="0.25"/>
    <row r="5052" s="1" customFormat="1" ht="15.95" customHeight="1" x14ac:dyDescent="0.25"/>
    <row r="5053" s="1" customFormat="1" ht="15.95" customHeight="1" x14ac:dyDescent="0.25"/>
    <row r="5054" s="1" customFormat="1" ht="15.95" customHeight="1" x14ac:dyDescent="0.25"/>
    <row r="5055" s="1" customFormat="1" ht="15.95" customHeight="1" x14ac:dyDescent="0.25"/>
    <row r="5056" s="1" customFormat="1" ht="15.95" customHeight="1" x14ac:dyDescent="0.25"/>
    <row r="5057" s="1" customFormat="1" ht="15.95" customHeight="1" x14ac:dyDescent="0.25"/>
    <row r="5058" s="1" customFormat="1" ht="15.95" customHeight="1" x14ac:dyDescent="0.25"/>
    <row r="5059" s="1" customFormat="1" ht="15.95" customHeight="1" x14ac:dyDescent="0.25"/>
    <row r="5060" s="1" customFormat="1" ht="15.95" customHeight="1" x14ac:dyDescent="0.25"/>
    <row r="5061" s="1" customFormat="1" ht="15.95" customHeight="1" x14ac:dyDescent="0.25"/>
    <row r="5062" s="1" customFormat="1" ht="15.95" customHeight="1" x14ac:dyDescent="0.25"/>
    <row r="5063" s="1" customFormat="1" ht="15.95" customHeight="1" x14ac:dyDescent="0.25"/>
    <row r="5064" s="1" customFormat="1" ht="15.95" customHeight="1" x14ac:dyDescent="0.25"/>
    <row r="5065" s="1" customFormat="1" ht="15.95" customHeight="1" x14ac:dyDescent="0.25"/>
    <row r="5066" s="1" customFormat="1" ht="15.95" customHeight="1" x14ac:dyDescent="0.25"/>
    <row r="5067" s="1" customFormat="1" ht="15.95" customHeight="1" x14ac:dyDescent="0.25"/>
    <row r="5068" s="1" customFormat="1" ht="15.95" customHeight="1" x14ac:dyDescent="0.25"/>
    <row r="5069" s="1" customFormat="1" ht="15.95" customHeight="1" x14ac:dyDescent="0.25"/>
    <row r="5070" s="1" customFormat="1" ht="15.95" customHeight="1" x14ac:dyDescent="0.25"/>
    <row r="5071" s="1" customFormat="1" ht="15.95" customHeight="1" x14ac:dyDescent="0.25"/>
    <row r="5072" s="1" customFormat="1" ht="15.95" customHeight="1" x14ac:dyDescent="0.25"/>
    <row r="5073" s="1" customFormat="1" ht="15.95" customHeight="1" x14ac:dyDescent="0.25"/>
    <row r="5074" s="1" customFormat="1" ht="15.95" customHeight="1" x14ac:dyDescent="0.25"/>
    <row r="5075" s="1" customFormat="1" ht="15.95" customHeight="1" x14ac:dyDescent="0.25"/>
    <row r="5076" s="1" customFormat="1" ht="15.95" customHeight="1" x14ac:dyDescent="0.25"/>
    <row r="5077" s="1" customFormat="1" ht="15.95" customHeight="1" x14ac:dyDescent="0.25"/>
    <row r="5078" s="1" customFormat="1" ht="15.95" customHeight="1" x14ac:dyDescent="0.25"/>
    <row r="5079" s="1" customFormat="1" ht="15.95" customHeight="1" x14ac:dyDescent="0.25"/>
    <row r="5080" s="1" customFormat="1" ht="15.95" customHeight="1" x14ac:dyDescent="0.25"/>
    <row r="5081" s="1" customFormat="1" ht="15.95" customHeight="1" x14ac:dyDescent="0.25"/>
    <row r="5082" s="1" customFormat="1" ht="15.95" customHeight="1" x14ac:dyDescent="0.25"/>
    <row r="5083" s="1" customFormat="1" ht="15.95" customHeight="1" x14ac:dyDescent="0.25"/>
    <row r="5084" s="1" customFormat="1" ht="15.95" customHeight="1" x14ac:dyDescent="0.25"/>
    <row r="5085" s="1" customFormat="1" ht="15.95" customHeight="1" x14ac:dyDescent="0.25"/>
    <row r="5086" s="1" customFormat="1" ht="15.95" customHeight="1" x14ac:dyDescent="0.25"/>
    <row r="5087" s="1" customFormat="1" ht="15.95" customHeight="1" x14ac:dyDescent="0.25"/>
    <row r="5088" s="1" customFormat="1" ht="15.95" customHeight="1" x14ac:dyDescent="0.25"/>
    <row r="5089" s="1" customFormat="1" ht="15.95" customHeight="1" x14ac:dyDescent="0.25"/>
    <row r="5090" s="1" customFormat="1" ht="15.95" customHeight="1" x14ac:dyDescent="0.25"/>
    <row r="5091" s="1" customFormat="1" ht="15.95" customHeight="1" x14ac:dyDescent="0.25"/>
    <row r="5092" s="1" customFormat="1" ht="15.95" customHeight="1" x14ac:dyDescent="0.25"/>
    <row r="5093" s="1" customFormat="1" ht="15.95" customHeight="1" x14ac:dyDescent="0.25"/>
    <row r="5094" s="1" customFormat="1" ht="15.95" customHeight="1" x14ac:dyDescent="0.25"/>
    <row r="5095" s="1" customFormat="1" ht="15.95" customHeight="1" x14ac:dyDescent="0.25"/>
    <row r="5096" s="1" customFormat="1" ht="15.95" customHeight="1" x14ac:dyDescent="0.25"/>
    <row r="5097" s="1" customFormat="1" ht="15.95" customHeight="1" x14ac:dyDescent="0.25"/>
    <row r="5098" s="1" customFormat="1" ht="15.95" customHeight="1" x14ac:dyDescent="0.25"/>
    <row r="5099" s="1" customFormat="1" ht="15.95" customHeight="1" x14ac:dyDescent="0.25"/>
    <row r="5100" s="1" customFormat="1" ht="15.95" customHeight="1" x14ac:dyDescent="0.25"/>
    <row r="5101" s="1" customFormat="1" ht="15.95" customHeight="1" x14ac:dyDescent="0.25"/>
    <row r="5102" s="1" customFormat="1" ht="15.95" customHeight="1" x14ac:dyDescent="0.25"/>
    <row r="5103" s="1" customFormat="1" ht="15.95" customHeight="1" x14ac:dyDescent="0.25"/>
    <row r="5104" s="1" customFormat="1" ht="15.95" customHeight="1" x14ac:dyDescent="0.25"/>
    <row r="5105" s="1" customFormat="1" ht="15.95" customHeight="1" x14ac:dyDescent="0.25"/>
    <row r="5106" s="1" customFormat="1" ht="15.95" customHeight="1" x14ac:dyDescent="0.25"/>
    <row r="5107" s="1" customFormat="1" ht="15.95" customHeight="1" x14ac:dyDescent="0.25"/>
    <row r="5108" s="1" customFormat="1" ht="15.95" customHeight="1" x14ac:dyDescent="0.25"/>
    <row r="5109" s="1" customFormat="1" ht="15.95" customHeight="1" x14ac:dyDescent="0.25"/>
    <row r="5110" s="1" customFormat="1" ht="15.95" customHeight="1" x14ac:dyDescent="0.25"/>
    <row r="5111" s="1" customFormat="1" ht="15.95" customHeight="1" x14ac:dyDescent="0.25"/>
    <row r="5112" s="1" customFormat="1" ht="15.95" customHeight="1" x14ac:dyDescent="0.25"/>
    <row r="5113" s="1" customFormat="1" ht="15.95" customHeight="1" x14ac:dyDescent="0.25"/>
    <row r="5114" s="1" customFormat="1" ht="15.95" customHeight="1" x14ac:dyDescent="0.25"/>
    <row r="5115" s="1" customFormat="1" ht="15.95" customHeight="1" x14ac:dyDescent="0.25"/>
    <row r="5116" s="1" customFormat="1" ht="15.95" customHeight="1" x14ac:dyDescent="0.25"/>
    <row r="5117" s="1" customFormat="1" ht="15.95" customHeight="1" x14ac:dyDescent="0.25"/>
    <row r="5118" s="1" customFormat="1" ht="15.95" customHeight="1" x14ac:dyDescent="0.25"/>
    <row r="5119" s="1" customFormat="1" ht="15.95" customHeight="1" x14ac:dyDescent="0.25"/>
    <row r="5120" s="1" customFormat="1" ht="15.95" customHeight="1" x14ac:dyDescent="0.25"/>
    <row r="5121" s="1" customFormat="1" ht="15.95" customHeight="1" x14ac:dyDescent="0.25"/>
    <row r="5122" s="1" customFormat="1" ht="15.95" customHeight="1" x14ac:dyDescent="0.25"/>
    <row r="5123" s="1" customFormat="1" ht="15.95" customHeight="1" x14ac:dyDescent="0.25"/>
    <row r="5124" s="1" customFormat="1" ht="15.95" customHeight="1" x14ac:dyDescent="0.25"/>
    <row r="5125" s="1" customFormat="1" ht="15.95" customHeight="1" x14ac:dyDescent="0.25"/>
    <row r="5126" s="1" customFormat="1" ht="15.95" customHeight="1" x14ac:dyDescent="0.25"/>
    <row r="5127" s="1" customFormat="1" ht="15.95" customHeight="1" x14ac:dyDescent="0.25"/>
    <row r="5128" s="1" customFormat="1" ht="15.95" customHeight="1" x14ac:dyDescent="0.25"/>
    <row r="5129" s="1" customFormat="1" ht="15.95" customHeight="1" x14ac:dyDescent="0.25"/>
    <row r="5130" s="1" customFormat="1" ht="15.95" customHeight="1" x14ac:dyDescent="0.25"/>
    <row r="5131" s="1" customFormat="1" ht="15.95" customHeight="1" x14ac:dyDescent="0.25"/>
    <row r="5132" s="1" customFormat="1" ht="15.95" customHeight="1" x14ac:dyDescent="0.25"/>
    <row r="5133" s="1" customFormat="1" ht="15.95" customHeight="1" x14ac:dyDescent="0.25"/>
    <row r="5134" s="1" customFormat="1" ht="15.95" customHeight="1" x14ac:dyDescent="0.25"/>
    <row r="5135" s="1" customFormat="1" ht="15.95" customHeight="1" x14ac:dyDescent="0.25"/>
    <row r="5136" s="1" customFormat="1" ht="15.95" customHeight="1" x14ac:dyDescent="0.25"/>
    <row r="5137" s="1" customFormat="1" ht="15.95" customHeight="1" x14ac:dyDescent="0.25"/>
    <row r="5138" s="1" customFormat="1" ht="15.95" customHeight="1" x14ac:dyDescent="0.25"/>
    <row r="5139" s="1" customFormat="1" ht="15.95" customHeight="1" x14ac:dyDescent="0.25"/>
    <row r="5140" s="1" customFormat="1" ht="15.95" customHeight="1" x14ac:dyDescent="0.25"/>
    <row r="5141" s="1" customFormat="1" ht="15.95" customHeight="1" x14ac:dyDescent="0.25"/>
    <row r="5142" s="1" customFormat="1" ht="15.95" customHeight="1" x14ac:dyDescent="0.25"/>
    <row r="5143" s="1" customFormat="1" ht="15.95" customHeight="1" x14ac:dyDescent="0.25"/>
    <row r="5144" s="1" customFormat="1" ht="15.95" customHeight="1" x14ac:dyDescent="0.25"/>
    <row r="5145" s="1" customFormat="1" ht="15.95" customHeight="1" x14ac:dyDescent="0.25"/>
    <row r="5146" s="1" customFormat="1" ht="15.95" customHeight="1" x14ac:dyDescent="0.25"/>
    <row r="5147" s="1" customFormat="1" ht="15.95" customHeight="1" x14ac:dyDescent="0.25"/>
    <row r="5148" s="1" customFormat="1" ht="15.95" customHeight="1" x14ac:dyDescent="0.25"/>
    <row r="5149" s="1" customFormat="1" ht="15.95" customHeight="1" x14ac:dyDescent="0.25"/>
    <row r="5150" s="1" customFormat="1" ht="15.95" customHeight="1" x14ac:dyDescent="0.25"/>
    <row r="5151" s="1" customFormat="1" ht="15.95" customHeight="1" x14ac:dyDescent="0.25"/>
    <row r="5152" s="1" customFormat="1" ht="15.95" customHeight="1" x14ac:dyDescent="0.25"/>
    <row r="5153" s="1" customFormat="1" ht="15.95" customHeight="1" x14ac:dyDescent="0.25"/>
    <row r="5154" s="1" customFormat="1" ht="15.95" customHeight="1" x14ac:dyDescent="0.25"/>
    <row r="5155" s="1" customFormat="1" ht="15.95" customHeight="1" x14ac:dyDescent="0.25"/>
    <row r="5156" s="1" customFormat="1" ht="15.95" customHeight="1" x14ac:dyDescent="0.25"/>
    <row r="5157" s="1" customFormat="1" ht="15.95" customHeight="1" x14ac:dyDescent="0.25"/>
    <row r="5158" s="1" customFormat="1" ht="15.95" customHeight="1" x14ac:dyDescent="0.25"/>
    <row r="5159" s="1" customFormat="1" ht="15.95" customHeight="1" x14ac:dyDescent="0.25"/>
    <row r="5160" s="1" customFormat="1" ht="15.95" customHeight="1" x14ac:dyDescent="0.25"/>
    <row r="5161" s="1" customFormat="1" ht="15.95" customHeight="1" x14ac:dyDescent="0.25"/>
    <row r="5162" s="1" customFormat="1" ht="15.95" customHeight="1" x14ac:dyDescent="0.25"/>
    <row r="5163" s="1" customFormat="1" ht="15.95" customHeight="1" x14ac:dyDescent="0.25"/>
    <row r="5164" s="1" customFormat="1" ht="15.95" customHeight="1" x14ac:dyDescent="0.25"/>
    <row r="5165" s="1" customFormat="1" ht="15.95" customHeight="1" x14ac:dyDescent="0.25"/>
    <row r="5166" s="1" customFormat="1" ht="15.95" customHeight="1" x14ac:dyDescent="0.25"/>
    <row r="5167" s="1" customFormat="1" ht="15.95" customHeight="1" x14ac:dyDescent="0.25"/>
    <row r="5168" s="1" customFormat="1" ht="15.95" customHeight="1" x14ac:dyDescent="0.25"/>
    <row r="5169" s="1" customFormat="1" ht="15.95" customHeight="1" x14ac:dyDescent="0.25"/>
    <row r="5170" s="1" customFormat="1" ht="15.95" customHeight="1" x14ac:dyDescent="0.25"/>
    <row r="5171" s="1" customFormat="1" ht="15.95" customHeight="1" x14ac:dyDescent="0.25"/>
    <row r="5172" s="1" customFormat="1" ht="15.95" customHeight="1" x14ac:dyDescent="0.25"/>
    <row r="5173" s="1" customFormat="1" ht="15.95" customHeight="1" x14ac:dyDescent="0.25"/>
    <row r="5174" s="1" customFormat="1" ht="15.95" customHeight="1" x14ac:dyDescent="0.25"/>
    <row r="5175" s="1" customFormat="1" ht="15.95" customHeight="1" x14ac:dyDescent="0.25"/>
    <row r="5176" s="1" customFormat="1" ht="15.95" customHeight="1" x14ac:dyDescent="0.25"/>
    <row r="5177" s="1" customFormat="1" ht="15.95" customHeight="1" x14ac:dyDescent="0.25"/>
    <row r="5178" s="1" customFormat="1" ht="15.95" customHeight="1" x14ac:dyDescent="0.25"/>
    <row r="5179" s="1" customFormat="1" ht="15.95" customHeight="1" x14ac:dyDescent="0.25"/>
    <row r="5180" s="1" customFormat="1" ht="15.95" customHeight="1" x14ac:dyDescent="0.25"/>
    <row r="5181" s="1" customFormat="1" ht="15.95" customHeight="1" x14ac:dyDescent="0.25"/>
    <row r="5182" s="1" customFormat="1" ht="15.95" customHeight="1" x14ac:dyDescent="0.25"/>
    <row r="5183" s="1" customFormat="1" ht="15.95" customHeight="1" x14ac:dyDescent="0.25"/>
    <row r="5184" s="1" customFormat="1" ht="15.95" customHeight="1" x14ac:dyDescent="0.25"/>
    <row r="5185" s="1" customFormat="1" ht="15.95" customHeight="1" x14ac:dyDescent="0.25"/>
    <row r="5186" s="1" customFormat="1" ht="15.95" customHeight="1" x14ac:dyDescent="0.25"/>
    <row r="5187" s="1" customFormat="1" ht="15.95" customHeight="1" x14ac:dyDescent="0.25"/>
    <row r="5188" s="1" customFormat="1" ht="15.95" customHeight="1" x14ac:dyDescent="0.25"/>
    <row r="5189" s="1" customFormat="1" ht="15.95" customHeight="1" x14ac:dyDescent="0.25"/>
    <row r="5190" s="1" customFormat="1" ht="15.95" customHeight="1" x14ac:dyDescent="0.25"/>
    <row r="5191" s="1" customFormat="1" ht="15.95" customHeight="1" x14ac:dyDescent="0.25"/>
    <row r="5192" s="1" customFormat="1" ht="15.95" customHeight="1" x14ac:dyDescent="0.25"/>
    <row r="5193" s="1" customFormat="1" ht="15.95" customHeight="1" x14ac:dyDescent="0.25"/>
    <row r="5194" s="1" customFormat="1" ht="15.95" customHeight="1" x14ac:dyDescent="0.25"/>
    <row r="5195" s="1" customFormat="1" ht="15.95" customHeight="1" x14ac:dyDescent="0.25"/>
    <row r="5196" s="1" customFormat="1" ht="15.95" customHeight="1" x14ac:dyDescent="0.25"/>
    <row r="5197" s="1" customFormat="1" ht="15.95" customHeight="1" x14ac:dyDescent="0.25"/>
    <row r="5198" s="1" customFormat="1" ht="15.95" customHeight="1" x14ac:dyDescent="0.25"/>
    <row r="5199" s="1" customFormat="1" ht="15.95" customHeight="1" x14ac:dyDescent="0.25"/>
    <row r="5200" s="1" customFormat="1" ht="15.95" customHeight="1" x14ac:dyDescent="0.25"/>
    <row r="5201" s="1" customFormat="1" ht="15.95" customHeight="1" x14ac:dyDescent="0.25"/>
    <row r="5202" s="1" customFormat="1" ht="15.95" customHeight="1" x14ac:dyDescent="0.25"/>
    <row r="5203" s="1" customFormat="1" ht="15.95" customHeight="1" x14ac:dyDescent="0.25"/>
    <row r="5204" s="1" customFormat="1" ht="15.95" customHeight="1" x14ac:dyDescent="0.25"/>
    <row r="5205" s="1" customFormat="1" ht="15.95" customHeight="1" x14ac:dyDescent="0.25"/>
    <row r="5206" s="1" customFormat="1" ht="15.95" customHeight="1" x14ac:dyDescent="0.25"/>
    <row r="5207" s="1" customFormat="1" ht="15.95" customHeight="1" x14ac:dyDescent="0.25"/>
    <row r="5208" s="1" customFormat="1" ht="15.95" customHeight="1" x14ac:dyDescent="0.25"/>
    <row r="5209" s="1" customFormat="1" ht="15.95" customHeight="1" x14ac:dyDescent="0.25"/>
    <row r="5210" s="1" customFormat="1" ht="15.95" customHeight="1" x14ac:dyDescent="0.25"/>
    <row r="5211" s="1" customFormat="1" ht="15.95" customHeight="1" x14ac:dyDescent="0.25"/>
    <row r="5212" s="1" customFormat="1" ht="15.95" customHeight="1" x14ac:dyDescent="0.25"/>
    <row r="5213" s="1" customFormat="1" ht="15.95" customHeight="1" x14ac:dyDescent="0.25"/>
    <row r="5214" s="1" customFormat="1" ht="15.95" customHeight="1" x14ac:dyDescent="0.25"/>
    <row r="5215" s="1" customFormat="1" ht="15.95" customHeight="1" x14ac:dyDescent="0.25"/>
    <row r="5216" s="1" customFormat="1" ht="15.95" customHeight="1" x14ac:dyDescent="0.25"/>
    <row r="5217" s="1" customFormat="1" ht="15.95" customHeight="1" x14ac:dyDescent="0.25"/>
    <row r="5218" s="1" customFormat="1" ht="15.95" customHeight="1" x14ac:dyDescent="0.25"/>
    <row r="5219" s="1" customFormat="1" ht="15.95" customHeight="1" x14ac:dyDescent="0.25"/>
    <row r="5220" s="1" customFormat="1" ht="15.95" customHeight="1" x14ac:dyDescent="0.25"/>
    <row r="5221" s="1" customFormat="1" ht="15.95" customHeight="1" x14ac:dyDescent="0.25"/>
    <row r="5222" s="1" customFormat="1" ht="15.95" customHeight="1" x14ac:dyDescent="0.25"/>
    <row r="5223" s="1" customFormat="1" ht="15.95" customHeight="1" x14ac:dyDescent="0.25"/>
    <row r="5224" s="1" customFormat="1" ht="15.95" customHeight="1" x14ac:dyDescent="0.25"/>
    <row r="5225" s="1" customFormat="1" ht="15.95" customHeight="1" x14ac:dyDescent="0.25"/>
    <row r="5226" s="1" customFormat="1" ht="15.95" customHeight="1" x14ac:dyDescent="0.25"/>
    <row r="5227" s="1" customFormat="1" ht="15.95" customHeight="1" x14ac:dyDescent="0.25"/>
    <row r="5228" s="1" customFormat="1" ht="15.95" customHeight="1" x14ac:dyDescent="0.25"/>
    <row r="5229" s="1" customFormat="1" ht="15.95" customHeight="1" x14ac:dyDescent="0.25"/>
    <row r="5230" s="1" customFormat="1" ht="15.95" customHeight="1" x14ac:dyDescent="0.25"/>
    <row r="5231" s="1" customFormat="1" ht="15.95" customHeight="1" x14ac:dyDescent="0.25"/>
    <row r="5232" s="1" customFormat="1" ht="15.95" customHeight="1" x14ac:dyDescent="0.25"/>
    <row r="5233" s="1" customFormat="1" ht="15.95" customHeight="1" x14ac:dyDescent="0.25"/>
    <row r="5234" s="1" customFormat="1" ht="15.95" customHeight="1" x14ac:dyDescent="0.25"/>
    <row r="5235" s="1" customFormat="1" ht="15.95" customHeight="1" x14ac:dyDescent="0.25"/>
    <row r="5236" s="1" customFormat="1" ht="15.95" customHeight="1" x14ac:dyDescent="0.25"/>
    <row r="5237" s="1" customFormat="1" ht="15.95" customHeight="1" x14ac:dyDescent="0.25"/>
    <row r="5238" s="1" customFormat="1" ht="15.95" customHeight="1" x14ac:dyDescent="0.25"/>
    <row r="5239" s="1" customFormat="1" ht="15.95" customHeight="1" x14ac:dyDescent="0.25"/>
    <row r="5240" s="1" customFormat="1" ht="15.95" customHeight="1" x14ac:dyDescent="0.25"/>
    <row r="5241" s="1" customFormat="1" ht="15.95" customHeight="1" x14ac:dyDescent="0.25"/>
    <row r="5242" s="1" customFormat="1" ht="15.95" customHeight="1" x14ac:dyDescent="0.25"/>
    <row r="5243" s="1" customFormat="1" ht="15.95" customHeight="1" x14ac:dyDescent="0.25"/>
    <row r="5244" s="1" customFormat="1" ht="15.95" customHeight="1" x14ac:dyDescent="0.25"/>
    <row r="5245" s="1" customFormat="1" ht="15.95" customHeight="1" x14ac:dyDescent="0.25"/>
    <row r="5246" s="1" customFormat="1" ht="15.95" customHeight="1" x14ac:dyDescent="0.25"/>
    <row r="5247" s="1" customFormat="1" ht="15.95" customHeight="1" x14ac:dyDescent="0.25"/>
    <row r="5248" s="1" customFormat="1" ht="15.95" customHeight="1" x14ac:dyDescent="0.25"/>
    <row r="5249" s="1" customFormat="1" ht="15.95" customHeight="1" x14ac:dyDescent="0.25"/>
    <row r="5250" s="1" customFormat="1" ht="15.95" customHeight="1" x14ac:dyDescent="0.25"/>
    <row r="5251" s="1" customFormat="1" ht="15.95" customHeight="1" x14ac:dyDescent="0.25"/>
    <row r="5252" s="1" customFormat="1" ht="15.95" customHeight="1" x14ac:dyDescent="0.25"/>
    <row r="5253" s="1" customFormat="1" ht="15.95" customHeight="1" x14ac:dyDescent="0.25"/>
    <row r="5254" s="1" customFormat="1" ht="15.95" customHeight="1" x14ac:dyDescent="0.25"/>
    <row r="5255" s="1" customFormat="1" ht="15.95" customHeight="1" x14ac:dyDescent="0.25"/>
    <row r="5256" s="1" customFormat="1" ht="15.95" customHeight="1" x14ac:dyDescent="0.25"/>
    <row r="5257" s="1" customFormat="1" ht="15.95" customHeight="1" x14ac:dyDescent="0.25"/>
    <row r="5258" s="1" customFormat="1" ht="15.95" customHeight="1" x14ac:dyDescent="0.25"/>
    <row r="5259" s="1" customFormat="1" ht="15.95" customHeight="1" x14ac:dyDescent="0.25"/>
    <row r="5260" s="1" customFormat="1" ht="15.95" customHeight="1" x14ac:dyDescent="0.25"/>
    <row r="5261" s="1" customFormat="1" ht="15.95" customHeight="1" x14ac:dyDescent="0.25"/>
    <row r="5262" s="1" customFormat="1" ht="15.95" customHeight="1" x14ac:dyDescent="0.25"/>
    <row r="5263" s="1" customFormat="1" ht="15.95" customHeight="1" x14ac:dyDescent="0.25"/>
    <row r="5264" s="1" customFormat="1" ht="15.95" customHeight="1" x14ac:dyDescent="0.25"/>
    <row r="5265" s="1" customFormat="1" ht="15.95" customHeight="1" x14ac:dyDescent="0.25"/>
    <row r="5266" s="1" customFormat="1" ht="15.95" customHeight="1" x14ac:dyDescent="0.25"/>
    <row r="5267" s="1" customFormat="1" ht="15.95" customHeight="1" x14ac:dyDescent="0.25"/>
    <row r="5268" s="1" customFormat="1" ht="15.95" customHeight="1" x14ac:dyDescent="0.25"/>
    <row r="5269" s="1" customFormat="1" ht="15.95" customHeight="1" x14ac:dyDescent="0.25"/>
    <row r="5270" s="1" customFormat="1" ht="15.95" customHeight="1" x14ac:dyDescent="0.25"/>
    <row r="5271" s="1" customFormat="1" ht="15.95" customHeight="1" x14ac:dyDescent="0.25"/>
    <row r="5272" s="1" customFormat="1" ht="15.95" customHeight="1" x14ac:dyDescent="0.25"/>
    <row r="5273" s="1" customFormat="1" ht="15.95" customHeight="1" x14ac:dyDescent="0.25"/>
    <row r="5274" s="1" customFormat="1" ht="15.95" customHeight="1" x14ac:dyDescent="0.25"/>
    <row r="5275" s="1" customFormat="1" ht="15.95" customHeight="1" x14ac:dyDescent="0.25"/>
    <row r="5276" s="1" customFormat="1" ht="15.95" customHeight="1" x14ac:dyDescent="0.25"/>
    <row r="5277" s="1" customFormat="1" ht="15.95" customHeight="1" x14ac:dyDescent="0.25"/>
    <row r="5278" s="1" customFormat="1" ht="15.95" customHeight="1" x14ac:dyDescent="0.25"/>
    <row r="5279" s="1" customFormat="1" ht="15.95" customHeight="1" x14ac:dyDescent="0.25"/>
    <row r="5280" s="1" customFormat="1" ht="15.95" customHeight="1" x14ac:dyDescent="0.25"/>
    <row r="5281" s="1" customFormat="1" ht="15.95" customHeight="1" x14ac:dyDescent="0.25"/>
    <row r="5282" s="1" customFormat="1" ht="15.95" customHeight="1" x14ac:dyDescent="0.25"/>
    <row r="5283" s="1" customFormat="1" ht="15.95" customHeight="1" x14ac:dyDescent="0.25"/>
    <row r="5284" s="1" customFormat="1" ht="15.95" customHeight="1" x14ac:dyDescent="0.25"/>
    <row r="5285" s="1" customFormat="1" ht="15.95" customHeight="1" x14ac:dyDescent="0.25"/>
    <row r="5286" s="1" customFormat="1" ht="15.95" customHeight="1" x14ac:dyDescent="0.25"/>
    <row r="5287" s="1" customFormat="1" ht="15.95" customHeight="1" x14ac:dyDescent="0.25"/>
    <row r="5288" s="1" customFormat="1" ht="15.95" customHeight="1" x14ac:dyDescent="0.25"/>
    <row r="5289" s="1" customFormat="1" ht="15.95" customHeight="1" x14ac:dyDescent="0.25"/>
    <row r="5290" s="1" customFormat="1" ht="15.95" customHeight="1" x14ac:dyDescent="0.25"/>
    <row r="5291" s="1" customFormat="1" ht="15.95" customHeight="1" x14ac:dyDescent="0.25"/>
    <row r="5292" s="1" customFormat="1" ht="15.95" customHeight="1" x14ac:dyDescent="0.25"/>
    <row r="5293" s="1" customFormat="1" ht="15.95" customHeight="1" x14ac:dyDescent="0.25"/>
    <row r="5294" s="1" customFormat="1" ht="15.95" customHeight="1" x14ac:dyDescent="0.25"/>
    <row r="5295" s="1" customFormat="1" ht="15.95" customHeight="1" x14ac:dyDescent="0.25"/>
    <row r="5296" s="1" customFormat="1" ht="15.95" customHeight="1" x14ac:dyDescent="0.25"/>
    <row r="5297" s="1" customFormat="1" ht="15.95" customHeight="1" x14ac:dyDescent="0.25"/>
    <row r="5298" s="1" customFormat="1" ht="15.95" customHeight="1" x14ac:dyDescent="0.25"/>
    <row r="5299" s="1" customFormat="1" ht="15.95" customHeight="1" x14ac:dyDescent="0.25"/>
    <row r="5300" s="1" customFormat="1" ht="15.95" customHeight="1" x14ac:dyDescent="0.25"/>
    <row r="5301" s="1" customFormat="1" ht="15.95" customHeight="1" x14ac:dyDescent="0.25"/>
    <row r="5302" s="1" customFormat="1" ht="15.95" customHeight="1" x14ac:dyDescent="0.25"/>
    <row r="5303" s="1" customFormat="1" ht="15.95" customHeight="1" x14ac:dyDescent="0.25"/>
    <row r="5304" s="1" customFormat="1" ht="15.95" customHeight="1" x14ac:dyDescent="0.25"/>
    <row r="5305" s="1" customFormat="1" ht="15.95" customHeight="1" x14ac:dyDescent="0.25"/>
    <row r="5306" s="1" customFormat="1" ht="15.95" customHeight="1" x14ac:dyDescent="0.25"/>
    <row r="5307" s="1" customFormat="1" ht="15.95" customHeight="1" x14ac:dyDescent="0.25"/>
    <row r="5308" s="1" customFormat="1" ht="15.95" customHeight="1" x14ac:dyDescent="0.25"/>
    <row r="5309" s="1" customFormat="1" ht="15.95" customHeight="1" x14ac:dyDescent="0.25"/>
    <row r="5310" s="1" customFormat="1" ht="15.95" customHeight="1" x14ac:dyDescent="0.25"/>
    <row r="5311" s="1" customFormat="1" ht="15.95" customHeight="1" x14ac:dyDescent="0.25"/>
    <row r="5312" s="1" customFormat="1" ht="15.95" customHeight="1" x14ac:dyDescent="0.25"/>
    <row r="5313" s="1" customFormat="1" ht="15.95" customHeight="1" x14ac:dyDescent="0.25"/>
    <row r="5314" s="1" customFormat="1" ht="15.95" customHeight="1" x14ac:dyDescent="0.25"/>
    <row r="5315" s="1" customFormat="1" ht="15.95" customHeight="1" x14ac:dyDescent="0.25"/>
    <row r="5316" s="1" customFormat="1" ht="15.95" customHeight="1" x14ac:dyDescent="0.25"/>
    <row r="5317" s="1" customFormat="1" ht="15.95" customHeight="1" x14ac:dyDescent="0.25"/>
    <row r="5318" s="1" customFormat="1" ht="15.95" customHeight="1" x14ac:dyDescent="0.25"/>
    <row r="5319" s="1" customFormat="1" ht="15.95" customHeight="1" x14ac:dyDescent="0.25"/>
    <row r="5320" s="1" customFormat="1" ht="15.95" customHeight="1" x14ac:dyDescent="0.25"/>
    <row r="5321" s="1" customFormat="1" ht="15.95" customHeight="1" x14ac:dyDescent="0.25"/>
    <row r="5322" s="1" customFormat="1" ht="15.95" customHeight="1" x14ac:dyDescent="0.25"/>
    <row r="5323" s="1" customFormat="1" ht="15.95" customHeight="1" x14ac:dyDescent="0.25"/>
    <row r="5324" s="1" customFormat="1" ht="15.95" customHeight="1" x14ac:dyDescent="0.25"/>
    <row r="5325" s="1" customFormat="1" ht="15.95" customHeight="1" x14ac:dyDescent="0.25"/>
    <row r="5326" s="1" customFormat="1" ht="15.95" customHeight="1" x14ac:dyDescent="0.25"/>
    <row r="5327" s="1" customFormat="1" ht="15.95" customHeight="1" x14ac:dyDescent="0.25"/>
    <row r="5328" s="1" customFormat="1" ht="15.95" customHeight="1" x14ac:dyDescent="0.25"/>
    <row r="5329" s="1" customFormat="1" ht="15.95" customHeight="1" x14ac:dyDescent="0.25"/>
    <row r="5330" s="1" customFormat="1" ht="15.95" customHeight="1" x14ac:dyDescent="0.25"/>
    <row r="5331" s="1" customFormat="1" ht="15.95" customHeight="1" x14ac:dyDescent="0.25"/>
    <row r="5332" s="1" customFormat="1" ht="15.95" customHeight="1" x14ac:dyDescent="0.25"/>
    <row r="5333" s="1" customFormat="1" ht="15.95" customHeight="1" x14ac:dyDescent="0.25"/>
    <row r="5334" s="1" customFormat="1" ht="15.95" customHeight="1" x14ac:dyDescent="0.25"/>
    <row r="5335" s="1" customFormat="1" ht="15.95" customHeight="1" x14ac:dyDescent="0.25"/>
    <row r="5336" s="1" customFormat="1" ht="15.95" customHeight="1" x14ac:dyDescent="0.25"/>
    <row r="5337" s="1" customFormat="1" ht="15.95" customHeight="1" x14ac:dyDescent="0.25"/>
    <row r="5338" s="1" customFormat="1" ht="15.95" customHeight="1" x14ac:dyDescent="0.25"/>
    <row r="5339" s="1" customFormat="1" ht="15.95" customHeight="1" x14ac:dyDescent="0.25"/>
    <row r="5340" s="1" customFormat="1" ht="15.95" customHeight="1" x14ac:dyDescent="0.25"/>
    <row r="5341" s="1" customFormat="1" ht="15.95" customHeight="1" x14ac:dyDescent="0.25"/>
    <row r="5342" s="1" customFormat="1" ht="15.95" customHeight="1" x14ac:dyDescent="0.25"/>
    <row r="5343" s="1" customFormat="1" ht="15.95" customHeight="1" x14ac:dyDescent="0.25"/>
    <row r="5344" s="1" customFormat="1" ht="15.95" customHeight="1" x14ac:dyDescent="0.25"/>
    <row r="5345" s="1" customFormat="1" ht="15.95" customHeight="1" x14ac:dyDescent="0.25"/>
    <row r="5346" s="1" customFormat="1" ht="15.95" customHeight="1" x14ac:dyDescent="0.25"/>
    <row r="5347" s="1" customFormat="1" ht="15.95" customHeight="1" x14ac:dyDescent="0.25"/>
    <row r="5348" s="1" customFormat="1" ht="15.95" customHeight="1" x14ac:dyDescent="0.25"/>
    <row r="5349" s="1" customFormat="1" ht="15.95" customHeight="1" x14ac:dyDescent="0.25"/>
    <row r="5350" s="1" customFormat="1" ht="15.95" customHeight="1" x14ac:dyDescent="0.25"/>
    <row r="5351" s="1" customFormat="1" ht="15.95" customHeight="1" x14ac:dyDescent="0.25"/>
    <row r="5352" s="1" customFormat="1" ht="15.95" customHeight="1" x14ac:dyDescent="0.25"/>
    <row r="5353" s="1" customFormat="1" ht="15.95" customHeight="1" x14ac:dyDescent="0.25"/>
    <row r="5354" s="1" customFormat="1" ht="15.95" customHeight="1" x14ac:dyDescent="0.25"/>
    <row r="5355" s="1" customFormat="1" ht="15.95" customHeight="1" x14ac:dyDescent="0.25"/>
    <row r="5356" s="1" customFormat="1" ht="15.95" customHeight="1" x14ac:dyDescent="0.25"/>
    <row r="5357" s="1" customFormat="1" ht="15.95" customHeight="1" x14ac:dyDescent="0.25"/>
    <row r="5358" s="1" customFormat="1" ht="15.95" customHeight="1" x14ac:dyDescent="0.25"/>
    <row r="5359" s="1" customFormat="1" ht="15.95" customHeight="1" x14ac:dyDescent="0.25"/>
    <row r="5360" s="1" customFormat="1" ht="15.95" customHeight="1" x14ac:dyDescent="0.25"/>
    <row r="5361" s="1" customFormat="1" ht="15.95" customHeight="1" x14ac:dyDescent="0.25"/>
    <row r="5362" s="1" customFormat="1" ht="15.95" customHeight="1" x14ac:dyDescent="0.25"/>
    <row r="5363" s="1" customFormat="1" ht="15.95" customHeight="1" x14ac:dyDescent="0.25"/>
    <row r="5364" s="1" customFormat="1" ht="15.95" customHeight="1" x14ac:dyDescent="0.25"/>
    <row r="5365" s="1" customFormat="1" ht="15.95" customHeight="1" x14ac:dyDescent="0.25"/>
    <row r="5366" s="1" customFormat="1" ht="15.95" customHeight="1" x14ac:dyDescent="0.25"/>
    <row r="5367" s="1" customFormat="1" ht="15.95" customHeight="1" x14ac:dyDescent="0.25"/>
    <row r="5368" s="1" customFormat="1" ht="15.95" customHeight="1" x14ac:dyDescent="0.25"/>
    <row r="5369" s="1" customFormat="1" ht="15.95" customHeight="1" x14ac:dyDescent="0.25"/>
    <row r="5370" s="1" customFormat="1" ht="15.95" customHeight="1" x14ac:dyDescent="0.25"/>
    <row r="5371" s="1" customFormat="1" ht="15.95" customHeight="1" x14ac:dyDescent="0.25"/>
    <row r="5372" s="1" customFormat="1" ht="15.95" customHeight="1" x14ac:dyDescent="0.25"/>
    <row r="5373" s="1" customFormat="1" ht="15.95" customHeight="1" x14ac:dyDescent="0.25"/>
    <row r="5374" s="1" customFormat="1" ht="15.95" customHeight="1" x14ac:dyDescent="0.25"/>
    <row r="5375" s="1" customFormat="1" ht="15.95" customHeight="1" x14ac:dyDescent="0.25"/>
    <row r="5376" s="1" customFormat="1" ht="15.95" customHeight="1" x14ac:dyDescent="0.25"/>
    <row r="5377" s="1" customFormat="1" ht="15.95" customHeight="1" x14ac:dyDescent="0.25"/>
    <row r="5378" s="1" customFormat="1" ht="15.95" customHeight="1" x14ac:dyDescent="0.25"/>
    <row r="5379" s="1" customFormat="1" ht="15.95" customHeight="1" x14ac:dyDescent="0.25"/>
    <row r="5380" s="1" customFormat="1" ht="15.95" customHeight="1" x14ac:dyDescent="0.25"/>
    <row r="5381" s="1" customFormat="1" ht="15.95" customHeight="1" x14ac:dyDescent="0.25"/>
    <row r="5382" s="1" customFormat="1" ht="15.95" customHeight="1" x14ac:dyDescent="0.25"/>
    <row r="5383" s="1" customFormat="1" ht="15.95" customHeight="1" x14ac:dyDescent="0.25"/>
    <row r="5384" s="1" customFormat="1" ht="15.95" customHeight="1" x14ac:dyDescent="0.25"/>
    <row r="5385" s="1" customFormat="1" ht="15.95" customHeight="1" x14ac:dyDescent="0.25"/>
    <row r="5386" s="1" customFormat="1" ht="15.95" customHeight="1" x14ac:dyDescent="0.25"/>
    <row r="5387" s="1" customFormat="1" ht="15.95" customHeight="1" x14ac:dyDescent="0.25"/>
    <row r="5388" s="1" customFormat="1" ht="15.95" customHeight="1" x14ac:dyDescent="0.25"/>
    <row r="5389" s="1" customFormat="1" ht="15.95" customHeight="1" x14ac:dyDescent="0.25"/>
    <row r="5390" s="1" customFormat="1" ht="15.95" customHeight="1" x14ac:dyDescent="0.25"/>
    <row r="5391" s="1" customFormat="1" ht="15.95" customHeight="1" x14ac:dyDescent="0.25"/>
    <row r="5392" s="1" customFormat="1" ht="15.95" customHeight="1" x14ac:dyDescent="0.25"/>
    <row r="5393" s="1" customFormat="1" ht="15.95" customHeight="1" x14ac:dyDescent="0.25"/>
    <row r="5394" s="1" customFormat="1" ht="15.95" customHeight="1" x14ac:dyDescent="0.25"/>
    <row r="5395" s="1" customFormat="1" ht="15.95" customHeight="1" x14ac:dyDescent="0.25"/>
    <row r="5396" s="1" customFormat="1" ht="15.95" customHeight="1" x14ac:dyDescent="0.25"/>
    <row r="5397" s="1" customFormat="1" ht="15.95" customHeight="1" x14ac:dyDescent="0.25"/>
    <row r="5398" s="1" customFormat="1" ht="15.95" customHeight="1" x14ac:dyDescent="0.25"/>
    <row r="5399" s="1" customFormat="1" ht="15.95" customHeight="1" x14ac:dyDescent="0.25"/>
    <row r="5400" s="1" customFormat="1" ht="15.95" customHeight="1" x14ac:dyDescent="0.25"/>
    <row r="5401" s="1" customFormat="1" ht="15.95" customHeight="1" x14ac:dyDescent="0.25"/>
    <row r="5402" s="1" customFormat="1" ht="15.95" customHeight="1" x14ac:dyDescent="0.25"/>
    <row r="5403" s="1" customFormat="1" ht="15.95" customHeight="1" x14ac:dyDescent="0.25"/>
    <row r="5404" s="1" customFormat="1" ht="15.95" customHeight="1" x14ac:dyDescent="0.25"/>
    <row r="5405" s="1" customFormat="1" ht="15.95" customHeight="1" x14ac:dyDescent="0.25"/>
    <row r="5406" s="1" customFormat="1" ht="15.95" customHeight="1" x14ac:dyDescent="0.25"/>
    <row r="5407" s="1" customFormat="1" ht="15.95" customHeight="1" x14ac:dyDescent="0.25"/>
    <row r="5408" s="1" customFormat="1" ht="15.95" customHeight="1" x14ac:dyDescent="0.25"/>
    <row r="5409" s="1" customFormat="1" ht="15.95" customHeight="1" x14ac:dyDescent="0.25"/>
    <row r="5410" s="1" customFormat="1" ht="15.95" customHeight="1" x14ac:dyDescent="0.25"/>
    <row r="5411" s="1" customFormat="1" ht="15.95" customHeight="1" x14ac:dyDescent="0.25"/>
    <row r="5412" s="1" customFormat="1" ht="15.95" customHeight="1" x14ac:dyDescent="0.25"/>
    <row r="5413" s="1" customFormat="1" ht="15.95" customHeight="1" x14ac:dyDescent="0.25"/>
    <row r="5414" s="1" customFormat="1" ht="15.95" customHeight="1" x14ac:dyDescent="0.25"/>
    <row r="5415" s="1" customFormat="1" ht="15.95" customHeight="1" x14ac:dyDescent="0.25"/>
    <row r="5416" s="1" customFormat="1" ht="15.95" customHeight="1" x14ac:dyDescent="0.25"/>
    <row r="5417" s="1" customFormat="1" ht="15.95" customHeight="1" x14ac:dyDescent="0.25"/>
    <row r="5418" s="1" customFormat="1" ht="15.95" customHeight="1" x14ac:dyDescent="0.25"/>
    <row r="5419" s="1" customFormat="1" ht="15.95" customHeight="1" x14ac:dyDescent="0.25"/>
    <row r="5420" s="1" customFormat="1" ht="15.95" customHeight="1" x14ac:dyDescent="0.25"/>
    <row r="5421" s="1" customFormat="1" ht="15.95" customHeight="1" x14ac:dyDescent="0.25"/>
    <row r="5422" s="1" customFormat="1" ht="15.95" customHeight="1" x14ac:dyDescent="0.25"/>
    <row r="5423" s="1" customFormat="1" ht="15.95" customHeight="1" x14ac:dyDescent="0.25"/>
    <row r="5424" s="1" customFormat="1" ht="15.95" customHeight="1" x14ac:dyDescent="0.25"/>
    <row r="5425" s="1" customFormat="1" ht="15.95" customHeight="1" x14ac:dyDescent="0.25"/>
    <row r="5426" s="1" customFormat="1" ht="15.95" customHeight="1" x14ac:dyDescent="0.25"/>
    <row r="5427" s="1" customFormat="1" ht="15.95" customHeight="1" x14ac:dyDescent="0.25"/>
    <row r="5428" s="1" customFormat="1" ht="15.95" customHeight="1" x14ac:dyDescent="0.25"/>
    <row r="5429" s="1" customFormat="1" ht="15.95" customHeight="1" x14ac:dyDescent="0.25"/>
    <row r="5430" s="1" customFormat="1" ht="15.95" customHeight="1" x14ac:dyDescent="0.25"/>
    <row r="5431" s="1" customFormat="1" ht="15.95" customHeight="1" x14ac:dyDescent="0.25"/>
    <row r="5432" s="1" customFormat="1" ht="15.95" customHeight="1" x14ac:dyDescent="0.25"/>
    <row r="5433" s="1" customFormat="1" ht="15.95" customHeight="1" x14ac:dyDescent="0.25"/>
    <row r="5434" s="1" customFormat="1" ht="15.95" customHeight="1" x14ac:dyDescent="0.25"/>
    <row r="5435" s="1" customFormat="1" ht="15.95" customHeight="1" x14ac:dyDescent="0.25"/>
    <row r="5436" s="1" customFormat="1" ht="15.95" customHeight="1" x14ac:dyDescent="0.25"/>
    <row r="5437" s="1" customFormat="1" ht="15.95" customHeight="1" x14ac:dyDescent="0.25"/>
    <row r="5438" s="1" customFormat="1" ht="15.95" customHeight="1" x14ac:dyDescent="0.25"/>
    <row r="5439" s="1" customFormat="1" ht="15.95" customHeight="1" x14ac:dyDescent="0.25"/>
    <row r="5440" s="1" customFormat="1" ht="15.95" customHeight="1" x14ac:dyDescent="0.25"/>
    <row r="5441" s="1" customFormat="1" ht="15.95" customHeight="1" x14ac:dyDescent="0.25"/>
    <row r="5442" s="1" customFormat="1" ht="15.95" customHeight="1" x14ac:dyDescent="0.25"/>
    <row r="5443" s="1" customFormat="1" ht="15.95" customHeight="1" x14ac:dyDescent="0.25"/>
    <row r="5444" s="1" customFormat="1" ht="15.95" customHeight="1" x14ac:dyDescent="0.25"/>
    <row r="5445" s="1" customFormat="1" ht="15.95" customHeight="1" x14ac:dyDescent="0.25"/>
    <row r="5446" s="1" customFormat="1" ht="15.95" customHeight="1" x14ac:dyDescent="0.25"/>
    <row r="5447" s="1" customFormat="1" ht="15.95" customHeight="1" x14ac:dyDescent="0.25"/>
    <row r="5448" s="1" customFormat="1" ht="15.95" customHeight="1" x14ac:dyDescent="0.25"/>
    <row r="5449" s="1" customFormat="1" ht="15.95" customHeight="1" x14ac:dyDescent="0.25"/>
    <row r="5450" s="1" customFormat="1" ht="15.95" customHeight="1" x14ac:dyDescent="0.25"/>
    <row r="5451" s="1" customFormat="1" ht="15.95" customHeight="1" x14ac:dyDescent="0.25"/>
    <row r="5452" s="1" customFormat="1" ht="15.95" customHeight="1" x14ac:dyDescent="0.25"/>
    <row r="5453" s="1" customFormat="1" ht="15.95" customHeight="1" x14ac:dyDescent="0.25"/>
    <row r="5454" s="1" customFormat="1" ht="15.95" customHeight="1" x14ac:dyDescent="0.25"/>
    <row r="5455" s="1" customFormat="1" ht="15.95" customHeight="1" x14ac:dyDescent="0.25"/>
    <row r="5456" s="1" customFormat="1" ht="15.95" customHeight="1" x14ac:dyDescent="0.25"/>
    <row r="5457" s="1" customFormat="1" ht="15.95" customHeight="1" x14ac:dyDescent="0.25"/>
    <row r="5458" s="1" customFormat="1" ht="15.95" customHeight="1" x14ac:dyDescent="0.25"/>
    <row r="5459" s="1" customFormat="1" ht="15.95" customHeight="1" x14ac:dyDescent="0.25"/>
    <row r="5460" s="1" customFormat="1" ht="15.95" customHeight="1" x14ac:dyDescent="0.25"/>
    <row r="5461" s="1" customFormat="1" ht="15.95" customHeight="1" x14ac:dyDescent="0.25"/>
    <row r="5462" s="1" customFormat="1" ht="15.95" customHeight="1" x14ac:dyDescent="0.25"/>
    <row r="5463" s="1" customFormat="1" ht="15.95" customHeight="1" x14ac:dyDescent="0.25"/>
    <row r="5464" s="1" customFormat="1" ht="15.95" customHeight="1" x14ac:dyDescent="0.25"/>
    <row r="5465" s="1" customFormat="1" ht="15.95" customHeight="1" x14ac:dyDescent="0.25"/>
    <row r="5466" s="1" customFormat="1" ht="15.95" customHeight="1" x14ac:dyDescent="0.25"/>
    <row r="5467" s="1" customFormat="1" ht="15.95" customHeight="1" x14ac:dyDescent="0.25"/>
    <row r="5468" s="1" customFormat="1" ht="15.95" customHeight="1" x14ac:dyDescent="0.25"/>
    <row r="5469" s="1" customFormat="1" ht="15.95" customHeight="1" x14ac:dyDescent="0.25"/>
    <row r="5470" s="1" customFormat="1" ht="15.95" customHeight="1" x14ac:dyDescent="0.25"/>
    <row r="5471" s="1" customFormat="1" ht="15.95" customHeight="1" x14ac:dyDescent="0.25"/>
    <row r="5472" s="1" customFormat="1" ht="15.95" customHeight="1" x14ac:dyDescent="0.25"/>
    <row r="5473" s="1" customFormat="1" ht="15.95" customHeight="1" x14ac:dyDescent="0.25"/>
    <row r="5474" s="1" customFormat="1" ht="15.95" customHeight="1" x14ac:dyDescent="0.25"/>
    <row r="5475" s="1" customFormat="1" ht="15.95" customHeight="1" x14ac:dyDescent="0.25"/>
    <row r="5476" s="1" customFormat="1" ht="15.95" customHeight="1" x14ac:dyDescent="0.25"/>
    <row r="5477" s="1" customFormat="1" ht="15.95" customHeight="1" x14ac:dyDescent="0.25"/>
    <row r="5478" s="1" customFormat="1" ht="15.95" customHeight="1" x14ac:dyDescent="0.25"/>
    <row r="5479" s="1" customFormat="1" ht="15.95" customHeight="1" x14ac:dyDescent="0.25"/>
    <row r="5480" s="1" customFormat="1" ht="15.95" customHeight="1" x14ac:dyDescent="0.25"/>
    <row r="5481" s="1" customFormat="1" ht="15.95" customHeight="1" x14ac:dyDescent="0.25"/>
    <row r="5482" s="1" customFormat="1" ht="15.95" customHeight="1" x14ac:dyDescent="0.25"/>
    <row r="5483" s="1" customFormat="1" ht="15.95" customHeight="1" x14ac:dyDescent="0.25"/>
    <row r="5484" s="1" customFormat="1" ht="15.95" customHeight="1" x14ac:dyDescent="0.25"/>
    <row r="5485" s="1" customFormat="1" ht="15.95" customHeight="1" x14ac:dyDescent="0.25"/>
    <row r="5486" s="1" customFormat="1" ht="15.95" customHeight="1" x14ac:dyDescent="0.25"/>
    <row r="5487" s="1" customFormat="1" ht="15.95" customHeight="1" x14ac:dyDescent="0.25"/>
    <row r="5488" s="1" customFormat="1" ht="15.95" customHeight="1" x14ac:dyDescent="0.25"/>
    <row r="5489" s="1" customFormat="1" ht="15.95" customHeight="1" x14ac:dyDescent="0.25"/>
    <row r="5490" s="1" customFormat="1" ht="15.95" customHeight="1" x14ac:dyDescent="0.25"/>
    <row r="5491" s="1" customFormat="1" ht="15.95" customHeight="1" x14ac:dyDescent="0.25"/>
    <row r="5492" s="1" customFormat="1" ht="15.95" customHeight="1" x14ac:dyDescent="0.25"/>
    <row r="5493" s="1" customFormat="1" ht="15.95" customHeight="1" x14ac:dyDescent="0.25"/>
    <row r="5494" s="1" customFormat="1" ht="15.95" customHeight="1" x14ac:dyDescent="0.25"/>
    <row r="5495" s="1" customFormat="1" ht="15.95" customHeight="1" x14ac:dyDescent="0.25"/>
    <row r="5496" s="1" customFormat="1" ht="15.95" customHeight="1" x14ac:dyDescent="0.25"/>
    <row r="5497" s="1" customFormat="1" ht="15.95" customHeight="1" x14ac:dyDescent="0.25"/>
    <row r="5498" s="1" customFormat="1" ht="15.95" customHeight="1" x14ac:dyDescent="0.25"/>
    <row r="5499" s="1" customFormat="1" ht="15.95" customHeight="1" x14ac:dyDescent="0.25"/>
    <row r="5500" s="1" customFormat="1" ht="15.95" customHeight="1" x14ac:dyDescent="0.25"/>
    <row r="5501" s="1" customFormat="1" ht="15.95" customHeight="1" x14ac:dyDescent="0.25"/>
    <row r="5502" s="1" customFormat="1" ht="15.95" customHeight="1" x14ac:dyDescent="0.25"/>
    <row r="5503" s="1" customFormat="1" ht="15.95" customHeight="1" x14ac:dyDescent="0.25"/>
    <row r="5504" s="1" customFormat="1" ht="15.95" customHeight="1" x14ac:dyDescent="0.25"/>
    <row r="5505" s="1" customFormat="1" ht="15.95" customHeight="1" x14ac:dyDescent="0.25"/>
    <row r="5506" s="1" customFormat="1" ht="15.95" customHeight="1" x14ac:dyDescent="0.25"/>
    <row r="5507" s="1" customFormat="1" ht="15.95" customHeight="1" x14ac:dyDescent="0.25"/>
    <row r="5508" s="1" customFormat="1" ht="15.95" customHeight="1" x14ac:dyDescent="0.25"/>
    <row r="5509" s="1" customFormat="1" ht="15.95" customHeight="1" x14ac:dyDescent="0.25"/>
    <row r="5510" s="1" customFormat="1" ht="15.95" customHeight="1" x14ac:dyDescent="0.25"/>
    <row r="5511" s="1" customFormat="1" ht="15.95" customHeight="1" x14ac:dyDescent="0.25"/>
    <row r="5512" s="1" customFormat="1" ht="15.95" customHeight="1" x14ac:dyDescent="0.25"/>
    <row r="5513" s="1" customFormat="1" ht="15.95" customHeight="1" x14ac:dyDescent="0.25"/>
    <row r="5514" s="1" customFormat="1" ht="15.95" customHeight="1" x14ac:dyDescent="0.25"/>
    <row r="5515" s="1" customFormat="1" ht="15.95" customHeight="1" x14ac:dyDescent="0.25"/>
    <row r="5516" s="1" customFormat="1" ht="15.95" customHeight="1" x14ac:dyDescent="0.25"/>
    <row r="5517" s="1" customFormat="1" ht="15.95" customHeight="1" x14ac:dyDescent="0.25"/>
    <row r="5518" s="1" customFormat="1" ht="15.95" customHeight="1" x14ac:dyDescent="0.25"/>
    <row r="5519" s="1" customFormat="1" ht="15.95" customHeight="1" x14ac:dyDescent="0.25"/>
    <row r="5520" s="1" customFormat="1" ht="15.95" customHeight="1" x14ac:dyDescent="0.25"/>
    <row r="5521" s="1" customFormat="1" ht="15.95" customHeight="1" x14ac:dyDescent="0.25"/>
    <row r="5522" s="1" customFormat="1" ht="15.95" customHeight="1" x14ac:dyDescent="0.25"/>
    <row r="5523" s="1" customFormat="1" ht="15.95" customHeight="1" x14ac:dyDescent="0.25"/>
    <row r="5524" s="1" customFormat="1" ht="15.95" customHeight="1" x14ac:dyDescent="0.25"/>
    <row r="5525" s="1" customFormat="1" ht="15.95" customHeight="1" x14ac:dyDescent="0.25"/>
    <row r="5526" s="1" customFormat="1" ht="15.95" customHeight="1" x14ac:dyDescent="0.25"/>
    <row r="5527" s="1" customFormat="1" ht="15.95" customHeight="1" x14ac:dyDescent="0.25"/>
    <row r="5528" s="1" customFormat="1" ht="15.95" customHeight="1" x14ac:dyDescent="0.25"/>
    <row r="5529" s="1" customFormat="1" ht="15.95" customHeight="1" x14ac:dyDescent="0.25"/>
    <row r="5530" s="1" customFormat="1" ht="15.95" customHeight="1" x14ac:dyDescent="0.25"/>
    <row r="5531" s="1" customFormat="1" ht="15.95" customHeight="1" x14ac:dyDescent="0.25"/>
    <row r="5532" s="1" customFormat="1" ht="15.95" customHeight="1" x14ac:dyDescent="0.25"/>
    <row r="5533" s="1" customFormat="1" ht="15.95" customHeight="1" x14ac:dyDescent="0.25"/>
    <row r="5534" s="1" customFormat="1" ht="15.95" customHeight="1" x14ac:dyDescent="0.25"/>
    <row r="5535" s="1" customFormat="1" ht="15.95" customHeight="1" x14ac:dyDescent="0.25"/>
    <row r="5536" s="1" customFormat="1" ht="15.95" customHeight="1" x14ac:dyDescent="0.25"/>
    <row r="5537" s="1" customFormat="1" ht="15.95" customHeight="1" x14ac:dyDescent="0.25"/>
    <row r="5538" s="1" customFormat="1" ht="15.95" customHeight="1" x14ac:dyDescent="0.25"/>
    <row r="5539" s="1" customFormat="1" ht="15.95" customHeight="1" x14ac:dyDescent="0.25"/>
    <row r="5540" s="1" customFormat="1" ht="15.95" customHeight="1" x14ac:dyDescent="0.25"/>
    <row r="5541" s="1" customFormat="1" ht="15.95" customHeight="1" x14ac:dyDescent="0.25"/>
    <row r="5542" s="1" customFormat="1" ht="15.95" customHeight="1" x14ac:dyDescent="0.25"/>
    <row r="5543" s="1" customFormat="1" ht="15.95" customHeight="1" x14ac:dyDescent="0.25"/>
    <row r="5544" s="1" customFormat="1" ht="15.95" customHeight="1" x14ac:dyDescent="0.25"/>
    <row r="5545" s="1" customFormat="1" ht="15.95" customHeight="1" x14ac:dyDescent="0.25"/>
    <row r="5546" s="1" customFormat="1" ht="15.95" customHeight="1" x14ac:dyDescent="0.25"/>
    <row r="5547" s="1" customFormat="1" ht="15.95" customHeight="1" x14ac:dyDescent="0.25"/>
    <row r="5548" s="1" customFormat="1" ht="15.95" customHeight="1" x14ac:dyDescent="0.25"/>
    <row r="5549" s="1" customFormat="1" ht="15.95" customHeight="1" x14ac:dyDescent="0.25"/>
    <row r="5550" s="1" customFormat="1" ht="15.95" customHeight="1" x14ac:dyDescent="0.25"/>
    <row r="5551" s="1" customFormat="1" ht="15.95" customHeight="1" x14ac:dyDescent="0.25"/>
    <row r="5552" s="1" customFormat="1" ht="15.95" customHeight="1" x14ac:dyDescent="0.25"/>
    <row r="5553" s="1" customFormat="1" ht="15.95" customHeight="1" x14ac:dyDescent="0.25"/>
    <row r="5554" s="1" customFormat="1" ht="15.95" customHeight="1" x14ac:dyDescent="0.25"/>
    <row r="5555" s="1" customFormat="1" ht="15.95" customHeight="1" x14ac:dyDescent="0.25"/>
    <row r="5556" s="1" customFormat="1" ht="15.95" customHeight="1" x14ac:dyDescent="0.25"/>
    <row r="5557" s="1" customFormat="1" ht="15.95" customHeight="1" x14ac:dyDescent="0.25"/>
    <row r="5558" s="1" customFormat="1" ht="15.95" customHeight="1" x14ac:dyDescent="0.25"/>
    <row r="5559" s="1" customFormat="1" ht="15.95" customHeight="1" x14ac:dyDescent="0.25"/>
    <row r="5560" s="1" customFormat="1" ht="15.95" customHeight="1" x14ac:dyDescent="0.25"/>
    <row r="5561" s="1" customFormat="1" ht="15.95" customHeight="1" x14ac:dyDescent="0.25"/>
    <row r="5562" s="1" customFormat="1" ht="15.95" customHeight="1" x14ac:dyDescent="0.25"/>
    <row r="5563" s="1" customFormat="1" ht="15.95" customHeight="1" x14ac:dyDescent="0.25"/>
    <row r="5564" s="1" customFormat="1" ht="15.95" customHeight="1" x14ac:dyDescent="0.25"/>
    <row r="5565" s="1" customFormat="1" ht="15.95" customHeight="1" x14ac:dyDescent="0.25"/>
    <row r="5566" s="1" customFormat="1" ht="15.95" customHeight="1" x14ac:dyDescent="0.25"/>
    <row r="5567" s="1" customFormat="1" ht="15.95" customHeight="1" x14ac:dyDescent="0.25"/>
    <row r="5568" s="1" customFormat="1" ht="15.95" customHeight="1" x14ac:dyDescent="0.25"/>
    <row r="5569" s="1" customFormat="1" ht="15.95" customHeight="1" x14ac:dyDescent="0.25"/>
    <row r="5570" s="1" customFormat="1" ht="15.95" customHeight="1" x14ac:dyDescent="0.25"/>
    <row r="5571" s="1" customFormat="1" ht="15.95" customHeight="1" x14ac:dyDescent="0.25"/>
    <row r="5572" s="1" customFormat="1" ht="15.95" customHeight="1" x14ac:dyDescent="0.25"/>
    <row r="5573" s="1" customFormat="1" ht="15.95" customHeight="1" x14ac:dyDescent="0.25"/>
    <row r="5574" s="1" customFormat="1" ht="15.95" customHeight="1" x14ac:dyDescent="0.25"/>
    <row r="5575" s="1" customFormat="1" ht="15.95" customHeight="1" x14ac:dyDescent="0.25"/>
    <row r="5576" s="1" customFormat="1" ht="15.95" customHeight="1" x14ac:dyDescent="0.25"/>
    <row r="5577" s="1" customFormat="1" ht="15.95" customHeight="1" x14ac:dyDescent="0.25"/>
    <row r="5578" s="1" customFormat="1" ht="15.95" customHeight="1" x14ac:dyDescent="0.25"/>
    <row r="5579" s="1" customFormat="1" ht="15.95" customHeight="1" x14ac:dyDescent="0.25"/>
    <row r="5580" s="1" customFormat="1" ht="15.95" customHeight="1" x14ac:dyDescent="0.25"/>
    <row r="5581" s="1" customFormat="1" ht="15.95" customHeight="1" x14ac:dyDescent="0.25"/>
    <row r="5582" s="1" customFormat="1" ht="15.95" customHeight="1" x14ac:dyDescent="0.25"/>
    <row r="5583" s="1" customFormat="1" ht="15.95" customHeight="1" x14ac:dyDescent="0.25"/>
    <row r="5584" s="1" customFormat="1" ht="15.95" customHeight="1" x14ac:dyDescent="0.25"/>
    <row r="5585" s="1" customFormat="1" ht="15.95" customHeight="1" x14ac:dyDescent="0.25"/>
    <row r="5586" s="1" customFormat="1" ht="15.95" customHeight="1" x14ac:dyDescent="0.25"/>
    <row r="5587" s="1" customFormat="1" ht="15.95" customHeight="1" x14ac:dyDescent="0.25"/>
    <row r="5588" s="1" customFormat="1" ht="15.95" customHeight="1" x14ac:dyDescent="0.25"/>
    <row r="5589" s="1" customFormat="1" ht="15.95" customHeight="1" x14ac:dyDescent="0.25"/>
    <row r="5590" s="1" customFormat="1" ht="15.95" customHeight="1" x14ac:dyDescent="0.25"/>
    <row r="5591" s="1" customFormat="1" ht="15.95" customHeight="1" x14ac:dyDescent="0.25"/>
    <row r="5592" s="1" customFormat="1" ht="15.95" customHeight="1" x14ac:dyDescent="0.25"/>
    <row r="5593" s="1" customFormat="1" ht="15.95" customHeight="1" x14ac:dyDescent="0.25"/>
    <row r="5594" s="1" customFormat="1" ht="15.95" customHeight="1" x14ac:dyDescent="0.25"/>
    <row r="5595" s="1" customFormat="1" ht="15.95" customHeight="1" x14ac:dyDescent="0.25"/>
    <row r="5596" s="1" customFormat="1" ht="15.95" customHeight="1" x14ac:dyDescent="0.25"/>
    <row r="5597" s="1" customFormat="1" ht="15.95" customHeight="1" x14ac:dyDescent="0.25"/>
    <row r="5598" s="1" customFormat="1" ht="15.95" customHeight="1" x14ac:dyDescent="0.25"/>
    <row r="5599" s="1" customFormat="1" ht="15.95" customHeight="1" x14ac:dyDescent="0.25"/>
    <row r="5600" s="1" customFormat="1" ht="15.95" customHeight="1" x14ac:dyDescent="0.25"/>
    <row r="5601" s="1" customFormat="1" ht="15.95" customHeight="1" x14ac:dyDescent="0.25"/>
    <row r="5602" s="1" customFormat="1" ht="15.95" customHeight="1" x14ac:dyDescent="0.25"/>
    <row r="5603" s="1" customFormat="1" ht="15.95" customHeight="1" x14ac:dyDescent="0.25"/>
    <row r="5604" s="1" customFormat="1" ht="15.95" customHeight="1" x14ac:dyDescent="0.25"/>
    <row r="5605" s="1" customFormat="1" ht="15.95" customHeight="1" x14ac:dyDescent="0.25"/>
    <row r="5606" s="1" customFormat="1" ht="15.95" customHeight="1" x14ac:dyDescent="0.25"/>
    <row r="5607" s="1" customFormat="1" ht="15.95" customHeight="1" x14ac:dyDescent="0.25"/>
    <row r="5608" s="1" customFormat="1" ht="15.95" customHeight="1" x14ac:dyDescent="0.25"/>
    <row r="5609" s="1" customFormat="1" ht="15.95" customHeight="1" x14ac:dyDescent="0.25"/>
    <row r="5610" s="1" customFormat="1" ht="15.95" customHeight="1" x14ac:dyDescent="0.25"/>
    <row r="5611" s="1" customFormat="1" ht="15.95" customHeight="1" x14ac:dyDescent="0.25"/>
    <row r="5612" s="1" customFormat="1" ht="15.95" customHeight="1" x14ac:dyDescent="0.25"/>
    <row r="5613" s="1" customFormat="1" ht="15.95" customHeight="1" x14ac:dyDescent="0.25"/>
    <row r="5614" s="1" customFormat="1" ht="15.95" customHeight="1" x14ac:dyDescent="0.25"/>
    <row r="5615" s="1" customFormat="1" ht="15.95" customHeight="1" x14ac:dyDescent="0.25"/>
    <row r="5616" s="1" customFormat="1" ht="15.95" customHeight="1" x14ac:dyDescent="0.25"/>
    <row r="5617" s="1" customFormat="1" ht="15.95" customHeight="1" x14ac:dyDescent="0.25"/>
    <row r="5618" s="1" customFormat="1" ht="15.95" customHeight="1" x14ac:dyDescent="0.25"/>
    <row r="5619" s="1" customFormat="1" ht="15.95" customHeight="1" x14ac:dyDescent="0.25"/>
    <row r="5620" s="1" customFormat="1" ht="15.95" customHeight="1" x14ac:dyDescent="0.25"/>
    <row r="5621" s="1" customFormat="1" ht="15.95" customHeight="1" x14ac:dyDescent="0.25"/>
    <row r="5622" s="1" customFormat="1" ht="15.95" customHeight="1" x14ac:dyDescent="0.25"/>
    <row r="5623" s="1" customFormat="1" ht="15.95" customHeight="1" x14ac:dyDescent="0.25"/>
    <row r="5624" s="1" customFormat="1" ht="15.95" customHeight="1" x14ac:dyDescent="0.25"/>
    <row r="5625" s="1" customFormat="1" ht="15.95" customHeight="1" x14ac:dyDescent="0.25"/>
    <row r="5626" s="1" customFormat="1" ht="15.95" customHeight="1" x14ac:dyDescent="0.25"/>
    <row r="5627" s="1" customFormat="1" ht="15.95" customHeight="1" x14ac:dyDescent="0.25"/>
    <row r="5628" s="1" customFormat="1" ht="15.95" customHeight="1" x14ac:dyDescent="0.25"/>
    <row r="5629" s="1" customFormat="1" ht="15.95" customHeight="1" x14ac:dyDescent="0.25"/>
    <row r="5630" s="1" customFormat="1" ht="15.95" customHeight="1" x14ac:dyDescent="0.25"/>
    <row r="5631" s="1" customFormat="1" ht="15.95" customHeight="1" x14ac:dyDescent="0.25"/>
    <row r="5632" s="1" customFormat="1" ht="15.95" customHeight="1" x14ac:dyDescent="0.25"/>
    <row r="5633" s="1" customFormat="1" ht="15.95" customHeight="1" x14ac:dyDescent="0.25"/>
    <row r="5634" s="1" customFormat="1" ht="15.95" customHeight="1" x14ac:dyDescent="0.25"/>
    <row r="5635" s="1" customFormat="1" ht="15.95" customHeight="1" x14ac:dyDescent="0.25"/>
    <row r="5636" s="1" customFormat="1" ht="15.95" customHeight="1" x14ac:dyDescent="0.25"/>
    <row r="5637" s="1" customFormat="1" ht="15.95" customHeight="1" x14ac:dyDescent="0.25"/>
    <row r="5638" s="1" customFormat="1" ht="15.95" customHeight="1" x14ac:dyDescent="0.25"/>
    <row r="5639" s="1" customFormat="1" ht="15.95" customHeight="1" x14ac:dyDescent="0.25"/>
    <row r="5640" s="1" customFormat="1" ht="15.95" customHeight="1" x14ac:dyDescent="0.25"/>
    <row r="5641" s="1" customFormat="1" ht="15.95" customHeight="1" x14ac:dyDescent="0.25"/>
    <row r="5642" s="1" customFormat="1" ht="15.95" customHeight="1" x14ac:dyDescent="0.25"/>
    <row r="5643" s="1" customFormat="1" ht="15.95" customHeight="1" x14ac:dyDescent="0.25"/>
    <row r="5644" s="1" customFormat="1" ht="15.95" customHeight="1" x14ac:dyDescent="0.25"/>
    <row r="5645" s="1" customFormat="1" ht="15.95" customHeight="1" x14ac:dyDescent="0.25"/>
    <row r="5646" s="1" customFormat="1" ht="15.95" customHeight="1" x14ac:dyDescent="0.25"/>
    <row r="5647" s="1" customFormat="1" ht="15.95" customHeight="1" x14ac:dyDescent="0.25"/>
    <row r="5648" s="1" customFormat="1" ht="15.95" customHeight="1" x14ac:dyDescent="0.25"/>
    <row r="5649" s="1" customFormat="1" ht="15.95" customHeight="1" x14ac:dyDescent="0.25"/>
    <row r="5650" s="1" customFormat="1" ht="15.95" customHeight="1" x14ac:dyDescent="0.25"/>
    <row r="5651" s="1" customFormat="1" ht="15.95" customHeight="1" x14ac:dyDescent="0.25"/>
    <row r="5652" s="1" customFormat="1" ht="15.95" customHeight="1" x14ac:dyDescent="0.25"/>
    <row r="5653" s="1" customFormat="1" ht="15.95" customHeight="1" x14ac:dyDescent="0.25"/>
    <row r="5654" s="1" customFormat="1" ht="15.95" customHeight="1" x14ac:dyDescent="0.25"/>
    <row r="5655" s="1" customFormat="1" ht="15.95" customHeight="1" x14ac:dyDescent="0.25"/>
    <row r="5656" s="1" customFormat="1" ht="15.95" customHeight="1" x14ac:dyDescent="0.25"/>
    <row r="5657" s="1" customFormat="1" ht="15.95" customHeight="1" x14ac:dyDescent="0.25"/>
    <row r="5658" s="1" customFormat="1" ht="15.95" customHeight="1" x14ac:dyDescent="0.25"/>
    <row r="5659" s="1" customFormat="1" ht="15.95" customHeight="1" x14ac:dyDescent="0.25"/>
    <row r="5660" s="1" customFormat="1" ht="15.95" customHeight="1" x14ac:dyDescent="0.25"/>
    <row r="5661" s="1" customFormat="1" ht="15.95" customHeight="1" x14ac:dyDescent="0.25"/>
    <row r="5662" s="1" customFormat="1" ht="15.95" customHeight="1" x14ac:dyDescent="0.25"/>
    <row r="5663" s="1" customFormat="1" ht="15.95" customHeight="1" x14ac:dyDescent="0.25"/>
    <row r="5664" s="1" customFormat="1" ht="15.95" customHeight="1" x14ac:dyDescent="0.25"/>
    <row r="5665" s="1" customFormat="1" ht="15.95" customHeight="1" x14ac:dyDescent="0.25"/>
    <row r="5666" s="1" customFormat="1" ht="15.95" customHeight="1" x14ac:dyDescent="0.25"/>
    <row r="5667" s="1" customFormat="1" ht="15.95" customHeight="1" x14ac:dyDescent="0.25"/>
    <row r="5668" s="1" customFormat="1" ht="15.95" customHeight="1" x14ac:dyDescent="0.25"/>
    <row r="5669" s="1" customFormat="1" ht="15.95" customHeight="1" x14ac:dyDescent="0.25"/>
    <row r="5670" s="1" customFormat="1" ht="15.95" customHeight="1" x14ac:dyDescent="0.25"/>
    <row r="5671" s="1" customFormat="1" ht="15.95" customHeight="1" x14ac:dyDescent="0.25"/>
    <row r="5672" s="1" customFormat="1" ht="15.95" customHeight="1" x14ac:dyDescent="0.25"/>
    <row r="5673" s="1" customFormat="1" ht="15.95" customHeight="1" x14ac:dyDescent="0.25"/>
    <row r="5674" s="1" customFormat="1" ht="15.95" customHeight="1" x14ac:dyDescent="0.25"/>
    <row r="5675" s="1" customFormat="1" ht="15.95" customHeight="1" x14ac:dyDescent="0.25"/>
    <row r="5676" s="1" customFormat="1" ht="15.95" customHeight="1" x14ac:dyDescent="0.25"/>
    <row r="5677" s="1" customFormat="1" ht="15.95" customHeight="1" x14ac:dyDescent="0.25"/>
    <row r="5678" s="1" customFormat="1" ht="15.95" customHeight="1" x14ac:dyDescent="0.25"/>
    <row r="5679" s="1" customFormat="1" ht="15.95" customHeight="1" x14ac:dyDescent="0.25"/>
    <row r="5680" s="1" customFormat="1" ht="15.95" customHeight="1" x14ac:dyDescent="0.25"/>
    <row r="5681" s="1" customFormat="1" ht="15.95" customHeight="1" x14ac:dyDescent="0.25"/>
    <row r="5682" s="1" customFormat="1" ht="15.95" customHeight="1" x14ac:dyDescent="0.25"/>
    <row r="5683" s="1" customFormat="1" ht="15.95" customHeight="1" x14ac:dyDescent="0.25"/>
    <row r="5684" s="1" customFormat="1" ht="15.95" customHeight="1" x14ac:dyDescent="0.25"/>
    <row r="5685" s="1" customFormat="1" ht="15.95" customHeight="1" x14ac:dyDescent="0.25"/>
    <row r="5686" s="1" customFormat="1" ht="15.95" customHeight="1" x14ac:dyDescent="0.25"/>
    <row r="5687" s="1" customFormat="1" ht="15.95" customHeight="1" x14ac:dyDescent="0.25"/>
    <row r="5688" s="1" customFormat="1" ht="15.95" customHeight="1" x14ac:dyDescent="0.25"/>
    <row r="5689" s="1" customFormat="1" ht="15.95" customHeight="1" x14ac:dyDescent="0.25"/>
    <row r="5690" s="1" customFormat="1" ht="15.95" customHeight="1" x14ac:dyDescent="0.25"/>
    <row r="5691" s="1" customFormat="1" ht="15.95" customHeight="1" x14ac:dyDescent="0.25"/>
    <row r="5692" s="1" customFormat="1" ht="15.95" customHeight="1" x14ac:dyDescent="0.25"/>
    <row r="5693" s="1" customFormat="1" ht="15.95" customHeight="1" x14ac:dyDescent="0.25"/>
    <row r="5694" s="1" customFormat="1" ht="15.95" customHeight="1" x14ac:dyDescent="0.25"/>
    <row r="5695" s="1" customFormat="1" ht="15.95" customHeight="1" x14ac:dyDescent="0.25"/>
    <row r="5696" s="1" customFormat="1" ht="15.95" customHeight="1" x14ac:dyDescent="0.25"/>
    <row r="5697" s="1" customFormat="1" ht="15.95" customHeight="1" x14ac:dyDescent="0.25"/>
    <row r="5698" s="1" customFormat="1" ht="15.95" customHeight="1" x14ac:dyDescent="0.25"/>
    <row r="5699" s="1" customFormat="1" ht="15.95" customHeight="1" x14ac:dyDescent="0.25"/>
    <row r="5700" s="1" customFormat="1" ht="15.95" customHeight="1" x14ac:dyDescent="0.25"/>
    <row r="5701" s="1" customFormat="1" ht="15.95" customHeight="1" x14ac:dyDescent="0.25"/>
    <row r="5702" s="1" customFormat="1" ht="15.95" customHeight="1" x14ac:dyDescent="0.25"/>
    <row r="5703" s="1" customFormat="1" ht="15.95" customHeight="1" x14ac:dyDescent="0.25"/>
    <row r="5704" s="1" customFormat="1" ht="15.95" customHeight="1" x14ac:dyDescent="0.25"/>
    <row r="5705" s="1" customFormat="1" ht="15.95" customHeight="1" x14ac:dyDescent="0.25"/>
    <row r="5706" s="1" customFormat="1" ht="15.95" customHeight="1" x14ac:dyDescent="0.25"/>
    <row r="5707" s="1" customFormat="1" ht="15.95" customHeight="1" x14ac:dyDescent="0.25"/>
    <row r="5708" s="1" customFormat="1" ht="15.95" customHeight="1" x14ac:dyDescent="0.25"/>
    <row r="5709" s="1" customFormat="1" ht="15.95" customHeight="1" x14ac:dyDescent="0.25"/>
    <row r="5710" s="1" customFormat="1" ht="15.95" customHeight="1" x14ac:dyDescent="0.25"/>
    <row r="5711" s="1" customFormat="1" ht="15.95" customHeight="1" x14ac:dyDescent="0.25"/>
    <row r="5712" s="1" customFormat="1" ht="15.95" customHeight="1" x14ac:dyDescent="0.25"/>
    <row r="5713" s="1" customFormat="1" ht="15.95" customHeight="1" x14ac:dyDescent="0.25"/>
    <row r="5714" s="1" customFormat="1" ht="15.95" customHeight="1" x14ac:dyDescent="0.25"/>
    <row r="5715" s="1" customFormat="1" ht="15.95" customHeight="1" x14ac:dyDescent="0.25"/>
    <row r="5716" s="1" customFormat="1" ht="15.95" customHeight="1" x14ac:dyDescent="0.25"/>
    <row r="5717" s="1" customFormat="1" ht="15.95" customHeight="1" x14ac:dyDescent="0.25"/>
    <row r="5718" s="1" customFormat="1" ht="15.95" customHeight="1" x14ac:dyDescent="0.25"/>
    <row r="5719" s="1" customFormat="1" ht="15.95" customHeight="1" x14ac:dyDescent="0.25"/>
    <row r="5720" s="1" customFormat="1" ht="15.95" customHeight="1" x14ac:dyDescent="0.25"/>
    <row r="5721" s="1" customFormat="1" ht="15.95" customHeight="1" x14ac:dyDescent="0.25"/>
    <row r="5722" s="1" customFormat="1" ht="15.95" customHeight="1" x14ac:dyDescent="0.25"/>
    <row r="5723" s="1" customFormat="1" ht="15.95" customHeight="1" x14ac:dyDescent="0.25"/>
    <row r="5724" s="1" customFormat="1" ht="15.95" customHeight="1" x14ac:dyDescent="0.25"/>
    <row r="5725" s="1" customFormat="1" ht="15.95" customHeight="1" x14ac:dyDescent="0.25"/>
    <row r="5726" s="1" customFormat="1" ht="15.95" customHeight="1" x14ac:dyDescent="0.25"/>
    <row r="5727" s="1" customFormat="1" ht="15.95" customHeight="1" x14ac:dyDescent="0.25"/>
    <row r="5728" s="1" customFormat="1" ht="15.95" customHeight="1" x14ac:dyDescent="0.25"/>
    <row r="5729" s="1" customFormat="1" ht="15.95" customHeight="1" x14ac:dyDescent="0.25"/>
    <row r="5730" s="1" customFormat="1" ht="15.95" customHeight="1" x14ac:dyDescent="0.25"/>
    <row r="5731" s="1" customFormat="1" ht="15.95" customHeight="1" x14ac:dyDescent="0.25"/>
    <row r="5732" s="1" customFormat="1" ht="15.95" customHeight="1" x14ac:dyDescent="0.25"/>
    <row r="5733" s="1" customFormat="1" ht="15.95" customHeight="1" x14ac:dyDescent="0.25"/>
    <row r="5734" s="1" customFormat="1" ht="15.95" customHeight="1" x14ac:dyDescent="0.25"/>
    <row r="5735" s="1" customFormat="1" ht="15.95" customHeight="1" x14ac:dyDescent="0.25"/>
    <row r="5736" s="1" customFormat="1" ht="15.95" customHeight="1" x14ac:dyDescent="0.25"/>
    <row r="5737" s="1" customFormat="1" ht="15.95" customHeight="1" x14ac:dyDescent="0.25"/>
    <row r="5738" s="1" customFormat="1" ht="15.95" customHeight="1" x14ac:dyDescent="0.25"/>
    <row r="5739" s="1" customFormat="1" ht="15.95" customHeight="1" x14ac:dyDescent="0.25"/>
    <row r="5740" s="1" customFormat="1" ht="15.95" customHeight="1" x14ac:dyDescent="0.25"/>
    <row r="5741" s="1" customFormat="1" ht="15.95" customHeight="1" x14ac:dyDescent="0.25"/>
    <row r="5742" s="1" customFormat="1" ht="15.95" customHeight="1" x14ac:dyDescent="0.25"/>
    <row r="5743" s="1" customFormat="1" ht="15.95" customHeight="1" x14ac:dyDescent="0.25"/>
    <row r="5744" s="1" customFormat="1" ht="15.95" customHeight="1" x14ac:dyDescent="0.25"/>
    <row r="5745" s="1" customFormat="1" ht="15.95" customHeight="1" x14ac:dyDescent="0.25"/>
    <row r="5746" s="1" customFormat="1" ht="15.95" customHeight="1" x14ac:dyDescent="0.25"/>
    <row r="5747" s="1" customFormat="1" ht="15.95" customHeight="1" x14ac:dyDescent="0.25"/>
    <row r="5748" s="1" customFormat="1" ht="15.95" customHeight="1" x14ac:dyDescent="0.25"/>
    <row r="5749" s="1" customFormat="1" ht="15.95" customHeight="1" x14ac:dyDescent="0.25"/>
    <row r="5750" s="1" customFormat="1" ht="15.95" customHeight="1" x14ac:dyDescent="0.25"/>
    <row r="5751" s="1" customFormat="1" ht="15.95" customHeight="1" x14ac:dyDescent="0.25"/>
    <row r="5752" s="1" customFormat="1" ht="15.95" customHeight="1" x14ac:dyDescent="0.25"/>
    <row r="5753" s="1" customFormat="1" ht="15.95" customHeight="1" x14ac:dyDescent="0.25"/>
    <row r="5754" s="1" customFormat="1" ht="15.95" customHeight="1" x14ac:dyDescent="0.25"/>
    <row r="5755" s="1" customFormat="1" ht="15.95" customHeight="1" x14ac:dyDescent="0.25"/>
    <row r="5756" s="1" customFormat="1" ht="15.95" customHeight="1" x14ac:dyDescent="0.25"/>
    <row r="5757" s="1" customFormat="1" ht="15.95" customHeight="1" x14ac:dyDescent="0.25"/>
    <row r="5758" s="1" customFormat="1" ht="15.95" customHeight="1" x14ac:dyDescent="0.25"/>
    <row r="5759" s="1" customFormat="1" ht="15.95" customHeight="1" x14ac:dyDescent="0.25"/>
    <row r="5760" s="1" customFormat="1" ht="15.95" customHeight="1" x14ac:dyDescent="0.25"/>
    <row r="5761" s="1" customFormat="1" ht="15.95" customHeight="1" x14ac:dyDescent="0.25"/>
    <row r="5762" s="1" customFormat="1" ht="15.95" customHeight="1" x14ac:dyDescent="0.25"/>
    <row r="5763" s="1" customFormat="1" ht="15.95" customHeight="1" x14ac:dyDescent="0.25"/>
    <row r="5764" s="1" customFormat="1" ht="15.95" customHeight="1" x14ac:dyDescent="0.25"/>
    <row r="5765" s="1" customFormat="1" ht="15.95" customHeight="1" x14ac:dyDescent="0.25"/>
    <row r="5766" s="1" customFormat="1" ht="15.95" customHeight="1" x14ac:dyDescent="0.25"/>
    <row r="5767" s="1" customFormat="1" ht="15.95" customHeight="1" x14ac:dyDescent="0.25"/>
    <row r="5768" s="1" customFormat="1" ht="15.95" customHeight="1" x14ac:dyDescent="0.25"/>
    <row r="5769" s="1" customFormat="1" ht="15.95" customHeight="1" x14ac:dyDescent="0.25"/>
    <row r="5770" s="1" customFormat="1" ht="15.95" customHeight="1" x14ac:dyDescent="0.25"/>
    <row r="5771" s="1" customFormat="1" ht="15.95" customHeight="1" x14ac:dyDescent="0.25"/>
    <row r="5772" s="1" customFormat="1" ht="15.95" customHeight="1" x14ac:dyDescent="0.25"/>
    <row r="5773" s="1" customFormat="1" ht="15.95" customHeight="1" x14ac:dyDescent="0.25"/>
    <row r="5774" s="1" customFormat="1" ht="15.95" customHeight="1" x14ac:dyDescent="0.25"/>
    <row r="5775" s="1" customFormat="1" ht="15.95" customHeight="1" x14ac:dyDescent="0.25"/>
    <row r="5776" s="1" customFormat="1" ht="15.95" customHeight="1" x14ac:dyDescent="0.25"/>
    <row r="5777" s="1" customFormat="1" ht="15.95" customHeight="1" x14ac:dyDescent="0.25"/>
    <row r="5778" s="1" customFormat="1" ht="15.95" customHeight="1" x14ac:dyDescent="0.25"/>
    <row r="5779" s="1" customFormat="1" ht="15.95" customHeight="1" x14ac:dyDescent="0.25"/>
    <row r="5780" s="1" customFormat="1" ht="15.95" customHeight="1" x14ac:dyDescent="0.25"/>
    <row r="5781" s="1" customFormat="1" ht="15.95" customHeight="1" x14ac:dyDescent="0.25"/>
    <row r="5782" s="1" customFormat="1" ht="15.95" customHeight="1" x14ac:dyDescent="0.25"/>
    <row r="5783" s="1" customFormat="1" ht="15.95" customHeight="1" x14ac:dyDescent="0.25"/>
    <row r="5784" s="1" customFormat="1" ht="15.95" customHeight="1" x14ac:dyDescent="0.25"/>
    <row r="5785" s="1" customFormat="1" ht="15.95" customHeight="1" x14ac:dyDescent="0.25"/>
    <row r="5786" s="1" customFormat="1" ht="15.95" customHeight="1" x14ac:dyDescent="0.25"/>
    <row r="5787" s="1" customFormat="1" ht="15.95" customHeight="1" x14ac:dyDescent="0.25"/>
    <row r="5788" s="1" customFormat="1" ht="15.95" customHeight="1" x14ac:dyDescent="0.25"/>
    <row r="5789" s="1" customFormat="1" ht="15.95" customHeight="1" x14ac:dyDescent="0.25"/>
    <row r="5790" s="1" customFormat="1" ht="15.95" customHeight="1" x14ac:dyDescent="0.25"/>
    <row r="5791" s="1" customFormat="1" ht="15.95" customHeight="1" x14ac:dyDescent="0.25"/>
    <row r="5792" s="1" customFormat="1" ht="15.95" customHeight="1" x14ac:dyDescent="0.25"/>
    <row r="5793" s="1" customFormat="1" ht="15.95" customHeight="1" x14ac:dyDescent="0.25"/>
    <row r="5794" s="1" customFormat="1" ht="15.95" customHeight="1" x14ac:dyDescent="0.25"/>
    <row r="5795" s="1" customFormat="1" ht="15.95" customHeight="1" x14ac:dyDescent="0.25"/>
    <row r="5796" s="1" customFormat="1" ht="15.95" customHeight="1" x14ac:dyDescent="0.25"/>
    <row r="5797" s="1" customFormat="1" ht="15.95" customHeight="1" x14ac:dyDescent="0.25"/>
    <row r="5798" s="1" customFormat="1" ht="15.95" customHeight="1" x14ac:dyDescent="0.25"/>
    <row r="5799" s="1" customFormat="1" ht="15.95" customHeight="1" x14ac:dyDescent="0.25"/>
    <row r="5800" s="1" customFormat="1" ht="15.95" customHeight="1" x14ac:dyDescent="0.25"/>
    <row r="5801" s="1" customFormat="1" ht="15.95" customHeight="1" x14ac:dyDescent="0.25"/>
    <row r="5802" s="1" customFormat="1" ht="15.95" customHeight="1" x14ac:dyDescent="0.25"/>
    <row r="5803" s="1" customFormat="1" ht="15.95" customHeight="1" x14ac:dyDescent="0.25"/>
    <row r="5804" s="1" customFormat="1" ht="15.95" customHeight="1" x14ac:dyDescent="0.25"/>
    <row r="5805" s="1" customFormat="1" ht="15.95" customHeight="1" x14ac:dyDescent="0.25"/>
    <row r="5806" s="1" customFormat="1" ht="15.95" customHeight="1" x14ac:dyDescent="0.25"/>
    <row r="5807" s="1" customFormat="1" ht="15.95" customHeight="1" x14ac:dyDescent="0.25"/>
    <row r="5808" s="1" customFormat="1" ht="15.95" customHeight="1" x14ac:dyDescent="0.25"/>
    <row r="5809" s="1" customFormat="1" ht="15.95" customHeight="1" x14ac:dyDescent="0.25"/>
    <row r="5810" s="1" customFormat="1" ht="15.95" customHeight="1" x14ac:dyDescent="0.25"/>
    <row r="5811" s="1" customFormat="1" ht="15.95" customHeight="1" x14ac:dyDescent="0.25"/>
    <row r="5812" s="1" customFormat="1" ht="15.95" customHeight="1" x14ac:dyDescent="0.25"/>
    <row r="5813" s="1" customFormat="1" ht="15.95" customHeight="1" x14ac:dyDescent="0.25"/>
    <row r="5814" s="1" customFormat="1" ht="15.95" customHeight="1" x14ac:dyDescent="0.25"/>
    <row r="5815" s="1" customFormat="1" ht="15.95" customHeight="1" x14ac:dyDescent="0.25"/>
    <row r="5816" s="1" customFormat="1" ht="15.95" customHeight="1" x14ac:dyDescent="0.25"/>
    <row r="5817" s="1" customFormat="1" ht="15.95" customHeight="1" x14ac:dyDescent="0.25"/>
    <row r="5818" s="1" customFormat="1" ht="15.95" customHeight="1" x14ac:dyDescent="0.25"/>
    <row r="5819" s="1" customFormat="1" ht="15.95" customHeight="1" x14ac:dyDescent="0.25"/>
    <row r="5820" s="1" customFormat="1" ht="15.95" customHeight="1" x14ac:dyDescent="0.25"/>
    <row r="5821" s="1" customFormat="1" ht="15.95" customHeight="1" x14ac:dyDescent="0.25"/>
    <row r="5822" s="1" customFormat="1" ht="15.95" customHeight="1" x14ac:dyDescent="0.25"/>
    <row r="5823" s="1" customFormat="1" ht="15.95" customHeight="1" x14ac:dyDescent="0.25"/>
    <row r="5824" s="1" customFormat="1" ht="15.95" customHeight="1" x14ac:dyDescent="0.25"/>
    <row r="5825" s="1" customFormat="1" ht="15.95" customHeight="1" x14ac:dyDescent="0.25"/>
    <row r="5826" s="1" customFormat="1" ht="15.95" customHeight="1" x14ac:dyDescent="0.25"/>
    <row r="5827" s="1" customFormat="1" ht="15.95" customHeight="1" x14ac:dyDescent="0.25"/>
    <row r="5828" s="1" customFormat="1" ht="15.95" customHeight="1" x14ac:dyDescent="0.25"/>
    <row r="5829" s="1" customFormat="1" ht="15.95" customHeight="1" x14ac:dyDescent="0.25"/>
    <row r="5830" s="1" customFormat="1" ht="15.95" customHeight="1" x14ac:dyDescent="0.25"/>
    <row r="5831" s="1" customFormat="1" ht="15.95" customHeight="1" x14ac:dyDescent="0.25"/>
    <row r="5832" s="1" customFormat="1" ht="15.95" customHeight="1" x14ac:dyDescent="0.25"/>
    <row r="5833" s="1" customFormat="1" ht="15.95" customHeight="1" x14ac:dyDescent="0.25"/>
    <row r="5834" s="1" customFormat="1" ht="15.95" customHeight="1" x14ac:dyDescent="0.25"/>
    <row r="5835" s="1" customFormat="1" ht="15.95" customHeight="1" x14ac:dyDescent="0.25"/>
    <row r="5836" s="1" customFormat="1" ht="15.95" customHeight="1" x14ac:dyDescent="0.25"/>
    <row r="5837" s="1" customFormat="1" ht="15.95" customHeight="1" x14ac:dyDescent="0.25"/>
    <row r="5838" s="1" customFormat="1" ht="15.95" customHeight="1" x14ac:dyDescent="0.25"/>
    <row r="5839" s="1" customFormat="1" ht="15.95" customHeight="1" x14ac:dyDescent="0.25"/>
    <row r="5840" s="1" customFormat="1" ht="15.95" customHeight="1" x14ac:dyDescent="0.25"/>
    <row r="5841" s="1" customFormat="1" ht="15.95" customHeight="1" x14ac:dyDescent="0.25"/>
    <row r="5842" s="1" customFormat="1" ht="15.95" customHeight="1" x14ac:dyDescent="0.25"/>
    <row r="5843" s="1" customFormat="1" ht="15.95" customHeight="1" x14ac:dyDescent="0.25"/>
    <row r="5844" s="1" customFormat="1" ht="15.95" customHeight="1" x14ac:dyDescent="0.25"/>
    <row r="5845" s="1" customFormat="1" ht="15.95" customHeight="1" x14ac:dyDescent="0.25"/>
    <row r="5846" s="1" customFormat="1" ht="15.95" customHeight="1" x14ac:dyDescent="0.25"/>
    <row r="5847" s="1" customFormat="1" ht="15.95" customHeight="1" x14ac:dyDescent="0.25"/>
    <row r="5848" s="1" customFormat="1" ht="15.95" customHeight="1" x14ac:dyDescent="0.25"/>
    <row r="5849" s="1" customFormat="1" ht="15.95" customHeight="1" x14ac:dyDescent="0.25"/>
    <row r="5850" s="1" customFormat="1" ht="15.95" customHeight="1" x14ac:dyDescent="0.25"/>
    <row r="5851" s="1" customFormat="1" ht="15.95" customHeight="1" x14ac:dyDescent="0.25"/>
    <row r="5852" s="1" customFormat="1" ht="15.95" customHeight="1" x14ac:dyDescent="0.25"/>
    <row r="5853" s="1" customFormat="1" ht="15.95" customHeight="1" x14ac:dyDescent="0.25"/>
    <row r="5854" s="1" customFormat="1" ht="15.95" customHeight="1" x14ac:dyDescent="0.25"/>
    <row r="5855" s="1" customFormat="1" ht="15.95" customHeight="1" x14ac:dyDescent="0.25"/>
    <row r="5856" s="1" customFormat="1" ht="15.95" customHeight="1" x14ac:dyDescent="0.25"/>
    <row r="5857" s="1" customFormat="1" ht="15.95" customHeight="1" x14ac:dyDescent="0.25"/>
    <row r="5858" s="1" customFormat="1" ht="15.95" customHeight="1" x14ac:dyDescent="0.25"/>
    <row r="5859" s="1" customFormat="1" ht="15.95" customHeight="1" x14ac:dyDescent="0.25"/>
    <row r="5860" s="1" customFormat="1" ht="15.95" customHeight="1" x14ac:dyDescent="0.25"/>
    <row r="5861" s="1" customFormat="1" ht="15.95" customHeight="1" x14ac:dyDescent="0.25"/>
    <row r="5862" s="1" customFormat="1" ht="15.95" customHeight="1" x14ac:dyDescent="0.25"/>
    <row r="5863" s="1" customFormat="1" ht="15.95" customHeight="1" x14ac:dyDescent="0.25"/>
    <row r="5864" s="1" customFormat="1" ht="15.95" customHeight="1" x14ac:dyDescent="0.25"/>
    <row r="5865" s="1" customFormat="1" ht="15.95" customHeight="1" x14ac:dyDescent="0.25"/>
    <row r="5866" s="1" customFormat="1" ht="15.95" customHeight="1" x14ac:dyDescent="0.25"/>
    <row r="5867" s="1" customFormat="1" ht="15.95" customHeight="1" x14ac:dyDescent="0.25"/>
    <row r="5868" s="1" customFormat="1" ht="15.95" customHeight="1" x14ac:dyDescent="0.25"/>
    <row r="5869" s="1" customFormat="1" ht="15.95" customHeight="1" x14ac:dyDescent="0.25"/>
    <row r="5870" s="1" customFormat="1" ht="15.95" customHeight="1" x14ac:dyDescent="0.25"/>
    <row r="5871" s="1" customFormat="1" ht="15.95" customHeight="1" x14ac:dyDescent="0.25"/>
    <row r="5872" s="1" customFormat="1" ht="15.95" customHeight="1" x14ac:dyDescent="0.25"/>
    <row r="5873" s="1" customFormat="1" ht="15.95" customHeight="1" x14ac:dyDescent="0.25"/>
    <row r="5874" s="1" customFormat="1" ht="15.95" customHeight="1" x14ac:dyDescent="0.25"/>
    <row r="5875" s="1" customFormat="1" ht="15.95" customHeight="1" x14ac:dyDescent="0.25"/>
    <row r="5876" s="1" customFormat="1" ht="15.95" customHeight="1" x14ac:dyDescent="0.25"/>
    <row r="5877" s="1" customFormat="1" ht="15.95" customHeight="1" x14ac:dyDescent="0.25"/>
    <row r="5878" s="1" customFormat="1" ht="15.95" customHeight="1" x14ac:dyDescent="0.25"/>
    <row r="5879" s="1" customFormat="1" ht="15.95" customHeight="1" x14ac:dyDescent="0.25"/>
    <row r="5880" s="1" customFormat="1" ht="15.95" customHeight="1" x14ac:dyDescent="0.25"/>
    <row r="5881" s="1" customFormat="1" ht="15.95" customHeight="1" x14ac:dyDescent="0.25"/>
    <row r="5882" s="1" customFormat="1" ht="15.95" customHeight="1" x14ac:dyDescent="0.25"/>
    <row r="5883" s="1" customFormat="1" ht="15.95" customHeight="1" x14ac:dyDescent="0.25"/>
    <row r="5884" s="1" customFormat="1" ht="15.95" customHeight="1" x14ac:dyDescent="0.25"/>
    <row r="5885" s="1" customFormat="1" ht="15.95" customHeight="1" x14ac:dyDescent="0.25"/>
    <row r="5886" s="1" customFormat="1" ht="15.95" customHeight="1" x14ac:dyDescent="0.25"/>
    <row r="5887" s="1" customFormat="1" ht="15.95" customHeight="1" x14ac:dyDescent="0.25"/>
    <row r="5888" s="1" customFormat="1" ht="15.95" customHeight="1" x14ac:dyDescent="0.25"/>
    <row r="5889" s="1" customFormat="1" ht="15.95" customHeight="1" x14ac:dyDescent="0.25"/>
    <row r="5890" s="1" customFormat="1" ht="15.95" customHeight="1" x14ac:dyDescent="0.25"/>
    <row r="5891" s="1" customFormat="1" ht="15.95" customHeight="1" x14ac:dyDescent="0.25"/>
    <row r="5892" s="1" customFormat="1" ht="15.95" customHeight="1" x14ac:dyDescent="0.25"/>
    <row r="5893" s="1" customFormat="1" ht="15.95" customHeight="1" x14ac:dyDescent="0.25"/>
    <row r="5894" s="1" customFormat="1" ht="15.95" customHeight="1" x14ac:dyDescent="0.25"/>
    <row r="5895" s="1" customFormat="1" ht="15.95" customHeight="1" x14ac:dyDescent="0.25"/>
    <row r="5896" s="1" customFormat="1" ht="15.95" customHeight="1" x14ac:dyDescent="0.25"/>
    <row r="5897" s="1" customFormat="1" ht="15.95" customHeight="1" x14ac:dyDescent="0.25"/>
    <row r="5898" s="1" customFormat="1" ht="15.95" customHeight="1" x14ac:dyDescent="0.25"/>
    <row r="5899" s="1" customFormat="1" ht="15.95" customHeight="1" x14ac:dyDescent="0.25"/>
    <row r="5900" s="1" customFormat="1" ht="15.95" customHeight="1" x14ac:dyDescent="0.25"/>
    <row r="5901" s="1" customFormat="1" ht="15.95" customHeight="1" x14ac:dyDescent="0.25"/>
    <row r="5902" s="1" customFormat="1" ht="15.95" customHeight="1" x14ac:dyDescent="0.25"/>
    <row r="5903" s="1" customFormat="1" ht="15.95" customHeight="1" x14ac:dyDescent="0.25"/>
    <row r="5904" s="1" customFormat="1" ht="15.95" customHeight="1" x14ac:dyDescent="0.25"/>
    <row r="5905" s="1" customFormat="1" ht="15.95" customHeight="1" x14ac:dyDescent="0.25"/>
    <row r="5906" s="1" customFormat="1" ht="15.95" customHeight="1" x14ac:dyDescent="0.25"/>
    <row r="5907" s="1" customFormat="1" ht="15.95" customHeight="1" x14ac:dyDescent="0.25"/>
    <row r="5908" s="1" customFormat="1" ht="15.95" customHeight="1" x14ac:dyDescent="0.25"/>
    <row r="5909" s="1" customFormat="1" ht="15.95" customHeight="1" x14ac:dyDescent="0.25"/>
    <row r="5910" s="1" customFormat="1" ht="15.95" customHeight="1" x14ac:dyDescent="0.25"/>
    <row r="5911" s="1" customFormat="1" ht="15.95" customHeight="1" x14ac:dyDescent="0.25"/>
    <row r="5912" s="1" customFormat="1" ht="15.95" customHeight="1" x14ac:dyDescent="0.25"/>
    <row r="5913" s="1" customFormat="1" ht="15.95" customHeight="1" x14ac:dyDescent="0.25"/>
    <row r="5914" s="1" customFormat="1" ht="15.95" customHeight="1" x14ac:dyDescent="0.25"/>
    <row r="5915" s="1" customFormat="1" ht="15.95" customHeight="1" x14ac:dyDescent="0.25"/>
    <row r="5916" s="1" customFormat="1" ht="15.95" customHeight="1" x14ac:dyDescent="0.25"/>
    <row r="5917" s="1" customFormat="1" ht="15.95" customHeight="1" x14ac:dyDescent="0.25"/>
    <row r="5918" s="1" customFormat="1" ht="15.95" customHeight="1" x14ac:dyDescent="0.25"/>
    <row r="5919" s="1" customFormat="1" ht="15.95" customHeight="1" x14ac:dyDescent="0.25"/>
    <row r="5920" s="1" customFormat="1" ht="15.95" customHeight="1" x14ac:dyDescent="0.25"/>
    <row r="5921" s="1" customFormat="1" ht="15.95" customHeight="1" x14ac:dyDescent="0.25"/>
    <row r="5922" s="1" customFormat="1" ht="15.95" customHeight="1" x14ac:dyDescent="0.25"/>
    <row r="5923" s="1" customFormat="1" ht="15.95" customHeight="1" x14ac:dyDescent="0.25"/>
    <row r="5924" s="1" customFormat="1" ht="15.95" customHeight="1" x14ac:dyDescent="0.25"/>
    <row r="5925" s="1" customFormat="1" ht="15.95" customHeight="1" x14ac:dyDescent="0.25"/>
    <row r="5926" s="1" customFormat="1" ht="15.95" customHeight="1" x14ac:dyDescent="0.25"/>
    <row r="5927" s="1" customFormat="1" ht="15.95" customHeight="1" x14ac:dyDescent="0.25"/>
    <row r="5928" s="1" customFormat="1" ht="15.95" customHeight="1" x14ac:dyDescent="0.25"/>
    <row r="5929" s="1" customFormat="1" ht="15.95" customHeight="1" x14ac:dyDescent="0.25"/>
    <row r="5930" s="1" customFormat="1" ht="15.95" customHeight="1" x14ac:dyDescent="0.25"/>
    <row r="5931" s="1" customFormat="1" ht="15.95" customHeight="1" x14ac:dyDescent="0.25"/>
    <row r="5932" s="1" customFormat="1" ht="15.95" customHeight="1" x14ac:dyDescent="0.25"/>
    <row r="5933" s="1" customFormat="1" ht="15.95" customHeight="1" x14ac:dyDescent="0.25"/>
    <row r="5934" s="1" customFormat="1" ht="15.95" customHeight="1" x14ac:dyDescent="0.25"/>
    <row r="5935" s="1" customFormat="1" ht="15.95" customHeight="1" x14ac:dyDescent="0.25"/>
    <row r="5936" s="1" customFormat="1" ht="15.95" customHeight="1" x14ac:dyDescent="0.25"/>
    <row r="5937" s="1" customFormat="1" ht="15.95" customHeight="1" x14ac:dyDescent="0.25"/>
    <row r="5938" s="1" customFormat="1" ht="15.95" customHeight="1" x14ac:dyDescent="0.25"/>
    <row r="5939" s="1" customFormat="1" ht="15.95" customHeight="1" x14ac:dyDescent="0.25"/>
    <row r="5940" s="1" customFormat="1" ht="15.95" customHeight="1" x14ac:dyDescent="0.25"/>
    <row r="5941" s="1" customFormat="1" ht="15.95" customHeight="1" x14ac:dyDescent="0.25"/>
    <row r="5942" s="1" customFormat="1" ht="15.95" customHeight="1" x14ac:dyDescent="0.25"/>
    <row r="5943" s="1" customFormat="1" ht="15.95" customHeight="1" x14ac:dyDescent="0.25"/>
    <row r="5944" s="1" customFormat="1" ht="15.95" customHeight="1" x14ac:dyDescent="0.25"/>
    <row r="5945" s="1" customFormat="1" ht="15.95" customHeight="1" x14ac:dyDescent="0.25"/>
    <row r="5946" s="1" customFormat="1" ht="15.95" customHeight="1" x14ac:dyDescent="0.25"/>
    <row r="5947" s="1" customFormat="1" ht="15.95" customHeight="1" x14ac:dyDescent="0.25"/>
    <row r="5948" s="1" customFormat="1" ht="15.95" customHeight="1" x14ac:dyDescent="0.25"/>
    <row r="5949" s="1" customFormat="1" ht="15.95" customHeight="1" x14ac:dyDescent="0.25"/>
    <row r="5950" s="1" customFormat="1" ht="15.95" customHeight="1" x14ac:dyDescent="0.25"/>
    <row r="5951" s="1" customFormat="1" ht="15.95" customHeight="1" x14ac:dyDescent="0.25"/>
    <row r="5952" s="1" customFormat="1" ht="15.95" customHeight="1" x14ac:dyDescent="0.25"/>
    <row r="5953" s="1" customFormat="1" ht="15.95" customHeight="1" x14ac:dyDescent="0.25"/>
    <row r="5954" s="1" customFormat="1" ht="15.95" customHeight="1" x14ac:dyDescent="0.25"/>
    <row r="5955" s="1" customFormat="1" ht="15.95" customHeight="1" x14ac:dyDescent="0.25"/>
    <row r="5956" s="1" customFormat="1" ht="15.95" customHeight="1" x14ac:dyDescent="0.25"/>
    <row r="5957" s="1" customFormat="1" ht="15.95" customHeight="1" x14ac:dyDescent="0.25"/>
    <row r="5958" s="1" customFormat="1" ht="15.95" customHeight="1" x14ac:dyDescent="0.25"/>
    <row r="5959" s="1" customFormat="1" ht="15.95" customHeight="1" x14ac:dyDescent="0.25"/>
    <row r="5960" s="1" customFormat="1" ht="15.95" customHeight="1" x14ac:dyDescent="0.25"/>
    <row r="5961" s="1" customFormat="1" ht="15.95" customHeight="1" x14ac:dyDescent="0.25"/>
    <row r="5962" s="1" customFormat="1" ht="15.95" customHeight="1" x14ac:dyDescent="0.25"/>
    <row r="5963" s="1" customFormat="1" ht="15.95" customHeight="1" x14ac:dyDescent="0.25"/>
    <row r="5964" s="1" customFormat="1" ht="15.95" customHeight="1" x14ac:dyDescent="0.25"/>
    <row r="5965" s="1" customFormat="1" ht="15.95" customHeight="1" x14ac:dyDescent="0.25"/>
    <row r="5966" s="1" customFormat="1" ht="15.95" customHeight="1" x14ac:dyDescent="0.25"/>
    <row r="5967" s="1" customFormat="1" ht="15.95" customHeight="1" x14ac:dyDescent="0.25"/>
    <row r="5968" s="1" customFormat="1" ht="15.95" customHeight="1" x14ac:dyDescent="0.25"/>
    <row r="5969" s="1" customFormat="1" ht="15.95" customHeight="1" x14ac:dyDescent="0.25"/>
    <row r="5970" s="1" customFormat="1" ht="15.95" customHeight="1" x14ac:dyDescent="0.25"/>
    <row r="5971" s="1" customFormat="1" ht="15.95" customHeight="1" x14ac:dyDescent="0.25"/>
    <row r="5972" s="1" customFormat="1" ht="15.95" customHeight="1" x14ac:dyDescent="0.25"/>
    <row r="5973" s="1" customFormat="1" ht="15.95" customHeight="1" x14ac:dyDescent="0.25"/>
    <row r="5974" s="1" customFormat="1" ht="15.95" customHeight="1" x14ac:dyDescent="0.25"/>
    <row r="5975" s="1" customFormat="1" ht="15.95" customHeight="1" x14ac:dyDescent="0.25"/>
    <row r="5976" s="1" customFormat="1" ht="15.95" customHeight="1" x14ac:dyDescent="0.25"/>
    <row r="5977" s="1" customFormat="1" ht="15.95" customHeight="1" x14ac:dyDescent="0.25"/>
    <row r="5978" s="1" customFormat="1" ht="15.95" customHeight="1" x14ac:dyDescent="0.25"/>
    <row r="5979" s="1" customFormat="1" ht="15.95" customHeight="1" x14ac:dyDescent="0.25"/>
    <row r="5980" s="1" customFormat="1" ht="15.95" customHeight="1" x14ac:dyDescent="0.25"/>
    <row r="5981" s="1" customFormat="1" ht="15.95" customHeight="1" x14ac:dyDescent="0.25"/>
    <row r="5982" s="1" customFormat="1" ht="15.95" customHeight="1" x14ac:dyDescent="0.25"/>
    <row r="5983" s="1" customFormat="1" ht="15.95" customHeight="1" x14ac:dyDescent="0.25"/>
    <row r="5984" s="1" customFormat="1" ht="15.95" customHeight="1" x14ac:dyDescent="0.25"/>
    <row r="5985" s="1" customFormat="1" ht="15.95" customHeight="1" x14ac:dyDescent="0.25"/>
    <row r="5986" s="1" customFormat="1" ht="15.95" customHeight="1" x14ac:dyDescent="0.25"/>
    <row r="5987" s="1" customFormat="1" ht="15.95" customHeight="1" x14ac:dyDescent="0.25"/>
    <row r="5988" s="1" customFormat="1" ht="15.95" customHeight="1" x14ac:dyDescent="0.25"/>
    <row r="5989" s="1" customFormat="1" ht="15.95" customHeight="1" x14ac:dyDescent="0.25"/>
    <row r="5990" s="1" customFormat="1" ht="15.95" customHeight="1" x14ac:dyDescent="0.25"/>
    <row r="5991" s="1" customFormat="1" ht="15.95" customHeight="1" x14ac:dyDescent="0.25"/>
    <row r="5992" s="1" customFormat="1" ht="15.95" customHeight="1" x14ac:dyDescent="0.25"/>
    <row r="5993" s="1" customFormat="1" ht="15.95" customHeight="1" x14ac:dyDescent="0.25"/>
    <row r="5994" s="1" customFormat="1" ht="15.95" customHeight="1" x14ac:dyDescent="0.25"/>
    <row r="5995" s="1" customFormat="1" ht="15.95" customHeight="1" x14ac:dyDescent="0.25"/>
    <row r="5996" s="1" customFormat="1" ht="15.95" customHeight="1" x14ac:dyDescent="0.25"/>
    <row r="5997" s="1" customFormat="1" ht="15.95" customHeight="1" x14ac:dyDescent="0.25"/>
    <row r="5998" s="1" customFormat="1" ht="15.95" customHeight="1" x14ac:dyDescent="0.25"/>
    <row r="5999" s="1" customFormat="1" ht="15.95" customHeight="1" x14ac:dyDescent="0.25"/>
    <row r="6000" s="1" customFormat="1" ht="15.95" customHeight="1" x14ac:dyDescent="0.25"/>
    <row r="6001" s="1" customFormat="1" ht="15.95" customHeight="1" x14ac:dyDescent="0.25"/>
    <row r="6002" s="1" customFormat="1" ht="15.95" customHeight="1" x14ac:dyDescent="0.25"/>
    <row r="6003" s="1" customFormat="1" ht="15.95" customHeight="1" x14ac:dyDescent="0.25"/>
    <row r="6004" s="1" customFormat="1" ht="15.95" customHeight="1" x14ac:dyDescent="0.25"/>
    <row r="6005" s="1" customFormat="1" ht="15.95" customHeight="1" x14ac:dyDescent="0.25"/>
    <row r="6006" s="1" customFormat="1" ht="15.95" customHeight="1" x14ac:dyDescent="0.25"/>
    <row r="6007" s="1" customFormat="1" ht="15.95" customHeight="1" x14ac:dyDescent="0.25"/>
    <row r="6008" s="1" customFormat="1" ht="15.95" customHeight="1" x14ac:dyDescent="0.25"/>
    <row r="6009" s="1" customFormat="1" ht="15.95" customHeight="1" x14ac:dyDescent="0.25"/>
    <row r="6010" s="1" customFormat="1" ht="15.95" customHeight="1" x14ac:dyDescent="0.25"/>
    <row r="6011" s="1" customFormat="1" ht="15.95" customHeight="1" x14ac:dyDescent="0.25"/>
    <row r="6012" s="1" customFormat="1" ht="15.95" customHeight="1" x14ac:dyDescent="0.25"/>
    <row r="6013" s="1" customFormat="1" ht="15.95" customHeight="1" x14ac:dyDescent="0.25"/>
    <row r="6014" s="1" customFormat="1" ht="15.95" customHeight="1" x14ac:dyDescent="0.25"/>
    <row r="6015" s="1" customFormat="1" ht="15.95" customHeight="1" x14ac:dyDescent="0.25"/>
    <row r="6016" s="1" customFormat="1" ht="15.95" customHeight="1" x14ac:dyDescent="0.25"/>
    <row r="6017" s="1" customFormat="1" ht="15.95" customHeight="1" x14ac:dyDescent="0.25"/>
    <row r="6018" s="1" customFormat="1" ht="15.95" customHeight="1" x14ac:dyDescent="0.25"/>
    <row r="6019" s="1" customFormat="1" ht="15.95" customHeight="1" x14ac:dyDescent="0.25"/>
    <row r="6020" s="1" customFormat="1" ht="15.95" customHeight="1" x14ac:dyDescent="0.25"/>
    <row r="6021" s="1" customFormat="1" ht="15.95" customHeight="1" x14ac:dyDescent="0.25"/>
    <row r="6022" s="1" customFormat="1" ht="15.95" customHeight="1" x14ac:dyDescent="0.25"/>
    <row r="6023" s="1" customFormat="1" ht="15.95" customHeight="1" x14ac:dyDescent="0.25"/>
    <row r="6024" s="1" customFormat="1" ht="15.95" customHeight="1" x14ac:dyDescent="0.25"/>
    <row r="6025" s="1" customFormat="1" ht="15.95" customHeight="1" x14ac:dyDescent="0.25"/>
    <row r="6026" s="1" customFormat="1" ht="15.95" customHeight="1" x14ac:dyDescent="0.25"/>
    <row r="6027" s="1" customFormat="1" ht="15.95" customHeight="1" x14ac:dyDescent="0.25"/>
    <row r="6028" s="1" customFormat="1" ht="15.95" customHeight="1" x14ac:dyDescent="0.25"/>
    <row r="6029" s="1" customFormat="1" ht="15.95" customHeight="1" x14ac:dyDescent="0.25"/>
    <row r="6030" s="1" customFormat="1" ht="15.95" customHeight="1" x14ac:dyDescent="0.25"/>
    <row r="6031" s="1" customFormat="1" ht="15.95" customHeight="1" x14ac:dyDescent="0.25"/>
    <row r="6032" s="1" customFormat="1" ht="15.95" customHeight="1" x14ac:dyDescent="0.25"/>
    <row r="6033" s="1" customFormat="1" ht="15.95" customHeight="1" x14ac:dyDescent="0.25"/>
    <row r="6034" s="1" customFormat="1" ht="15.95" customHeight="1" x14ac:dyDescent="0.25"/>
    <row r="6035" s="1" customFormat="1" ht="15.95" customHeight="1" x14ac:dyDescent="0.25"/>
    <row r="6036" s="1" customFormat="1" ht="15.95" customHeight="1" x14ac:dyDescent="0.25"/>
    <row r="6037" s="1" customFormat="1" ht="15.95" customHeight="1" x14ac:dyDescent="0.25"/>
    <row r="6038" s="1" customFormat="1" ht="15.95" customHeight="1" x14ac:dyDescent="0.25"/>
    <row r="6039" s="1" customFormat="1" ht="15.95" customHeight="1" x14ac:dyDescent="0.25"/>
    <row r="6040" s="1" customFormat="1" ht="15.95" customHeight="1" x14ac:dyDescent="0.25"/>
    <row r="6041" s="1" customFormat="1" ht="15.95" customHeight="1" x14ac:dyDescent="0.25"/>
    <row r="6042" s="1" customFormat="1" ht="15.95" customHeight="1" x14ac:dyDescent="0.25"/>
    <row r="6043" s="1" customFormat="1" ht="15.95" customHeight="1" x14ac:dyDescent="0.25"/>
    <row r="6044" s="1" customFormat="1" ht="15.95" customHeight="1" x14ac:dyDescent="0.25"/>
    <row r="6045" s="1" customFormat="1" ht="15.95" customHeight="1" x14ac:dyDescent="0.25"/>
    <row r="6046" s="1" customFormat="1" ht="15.95" customHeight="1" x14ac:dyDescent="0.25"/>
    <row r="6047" s="1" customFormat="1" ht="15.95" customHeight="1" x14ac:dyDescent="0.25"/>
    <row r="6048" s="1" customFormat="1" ht="15.95" customHeight="1" x14ac:dyDescent="0.25"/>
    <row r="6049" s="1" customFormat="1" ht="15.95" customHeight="1" x14ac:dyDescent="0.25"/>
    <row r="6050" s="1" customFormat="1" ht="15.95" customHeight="1" x14ac:dyDescent="0.25"/>
    <row r="6051" s="1" customFormat="1" ht="15.95" customHeight="1" x14ac:dyDescent="0.25"/>
    <row r="6052" s="1" customFormat="1" ht="15.95" customHeight="1" x14ac:dyDescent="0.25"/>
    <row r="6053" s="1" customFormat="1" ht="15.95" customHeight="1" x14ac:dyDescent="0.25"/>
    <row r="6054" s="1" customFormat="1" ht="15.95" customHeight="1" x14ac:dyDescent="0.25"/>
    <row r="6055" s="1" customFormat="1" ht="15.95" customHeight="1" x14ac:dyDescent="0.25"/>
    <row r="6056" s="1" customFormat="1" ht="15.95" customHeight="1" x14ac:dyDescent="0.25"/>
    <row r="6057" s="1" customFormat="1" ht="15.95" customHeight="1" x14ac:dyDescent="0.25"/>
    <row r="6058" s="1" customFormat="1" ht="15.95" customHeight="1" x14ac:dyDescent="0.25"/>
    <row r="6059" s="1" customFormat="1" ht="15.95" customHeight="1" x14ac:dyDescent="0.25"/>
    <row r="6060" s="1" customFormat="1" ht="15.95" customHeight="1" x14ac:dyDescent="0.25"/>
    <row r="6061" s="1" customFormat="1" ht="15.95" customHeight="1" x14ac:dyDescent="0.25"/>
    <row r="6062" s="1" customFormat="1" ht="15.95" customHeight="1" x14ac:dyDescent="0.25"/>
    <row r="6063" s="1" customFormat="1" ht="15.95" customHeight="1" x14ac:dyDescent="0.25"/>
    <row r="6064" s="1" customFormat="1" ht="15.95" customHeight="1" x14ac:dyDescent="0.25"/>
    <row r="6065" s="1" customFormat="1" ht="15.95" customHeight="1" x14ac:dyDescent="0.25"/>
    <row r="6066" s="1" customFormat="1" ht="15.95" customHeight="1" x14ac:dyDescent="0.25"/>
    <row r="6067" s="1" customFormat="1" ht="15.95" customHeight="1" x14ac:dyDescent="0.25"/>
    <row r="6068" s="1" customFormat="1" ht="15.95" customHeight="1" x14ac:dyDescent="0.25"/>
    <row r="6069" s="1" customFormat="1" ht="15.95" customHeight="1" x14ac:dyDescent="0.25"/>
    <row r="6070" s="1" customFormat="1" ht="15.95" customHeight="1" x14ac:dyDescent="0.25"/>
    <row r="6071" s="1" customFormat="1" ht="15.95" customHeight="1" x14ac:dyDescent="0.25"/>
    <row r="6072" s="1" customFormat="1" ht="15.95" customHeight="1" x14ac:dyDescent="0.25"/>
    <row r="6073" s="1" customFormat="1" ht="15.95" customHeight="1" x14ac:dyDescent="0.25"/>
    <row r="6074" s="1" customFormat="1" ht="15.95" customHeight="1" x14ac:dyDescent="0.25"/>
    <row r="6075" s="1" customFormat="1" ht="15.95" customHeight="1" x14ac:dyDescent="0.25"/>
    <row r="6076" s="1" customFormat="1" ht="15.95" customHeight="1" x14ac:dyDescent="0.25"/>
    <row r="6077" s="1" customFormat="1" ht="15.95" customHeight="1" x14ac:dyDescent="0.25"/>
    <row r="6078" s="1" customFormat="1" ht="15.95" customHeight="1" x14ac:dyDescent="0.25"/>
    <row r="6079" s="1" customFormat="1" ht="15.95" customHeight="1" x14ac:dyDescent="0.25"/>
    <row r="6080" s="1" customFormat="1" ht="15.95" customHeight="1" x14ac:dyDescent="0.25"/>
    <row r="6081" s="1" customFormat="1" ht="15.95" customHeight="1" x14ac:dyDescent="0.25"/>
    <row r="6082" s="1" customFormat="1" ht="15.95" customHeight="1" x14ac:dyDescent="0.25"/>
    <row r="6083" s="1" customFormat="1" ht="15.95" customHeight="1" x14ac:dyDescent="0.25"/>
    <row r="6084" s="1" customFormat="1" ht="15.95" customHeight="1" x14ac:dyDescent="0.25"/>
    <row r="6085" s="1" customFormat="1" ht="15.95" customHeight="1" x14ac:dyDescent="0.25"/>
    <row r="6086" s="1" customFormat="1" ht="15.95" customHeight="1" x14ac:dyDescent="0.25"/>
    <row r="6087" s="1" customFormat="1" ht="15.95" customHeight="1" x14ac:dyDescent="0.25"/>
    <row r="6088" s="1" customFormat="1" ht="15.95" customHeight="1" x14ac:dyDescent="0.25"/>
    <row r="6089" s="1" customFormat="1" ht="15.95" customHeight="1" x14ac:dyDescent="0.25"/>
    <row r="6090" s="1" customFormat="1" ht="15.95" customHeight="1" x14ac:dyDescent="0.25"/>
    <row r="6091" s="1" customFormat="1" ht="15.95" customHeight="1" x14ac:dyDescent="0.25"/>
    <row r="6092" s="1" customFormat="1" ht="15.95" customHeight="1" x14ac:dyDescent="0.25"/>
    <row r="6093" s="1" customFormat="1" ht="15.95" customHeight="1" x14ac:dyDescent="0.25"/>
    <row r="6094" s="1" customFormat="1" ht="15.95" customHeight="1" x14ac:dyDescent="0.25"/>
    <row r="6095" s="1" customFormat="1" ht="15.95" customHeight="1" x14ac:dyDescent="0.25"/>
    <row r="6096" s="1" customFormat="1" ht="15.95" customHeight="1" x14ac:dyDescent="0.25"/>
    <row r="6097" s="1" customFormat="1" ht="15.95" customHeight="1" x14ac:dyDescent="0.25"/>
    <row r="6098" s="1" customFormat="1" ht="15.95" customHeight="1" x14ac:dyDescent="0.25"/>
    <row r="6099" s="1" customFormat="1" ht="15.95" customHeight="1" x14ac:dyDescent="0.25"/>
    <row r="6100" s="1" customFormat="1" ht="15.95" customHeight="1" x14ac:dyDescent="0.25"/>
    <row r="6101" s="1" customFormat="1" ht="15.95" customHeight="1" x14ac:dyDescent="0.25"/>
    <row r="6102" s="1" customFormat="1" ht="15.95" customHeight="1" x14ac:dyDescent="0.25"/>
    <row r="6103" s="1" customFormat="1" ht="15.95" customHeight="1" x14ac:dyDescent="0.25"/>
    <row r="6104" s="1" customFormat="1" ht="15.95" customHeight="1" x14ac:dyDescent="0.25"/>
    <row r="6105" s="1" customFormat="1" ht="15.95" customHeight="1" x14ac:dyDescent="0.25"/>
    <row r="6106" s="1" customFormat="1" ht="15.95" customHeight="1" x14ac:dyDescent="0.25"/>
    <row r="6107" s="1" customFormat="1" ht="15.95" customHeight="1" x14ac:dyDescent="0.25"/>
    <row r="6108" s="1" customFormat="1" ht="15.95" customHeight="1" x14ac:dyDescent="0.25"/>
    <row r="6109" s="1" customFormat="1" ht="15.95" customHeight="1" x14ac:dyDescent="0.25"/>
    <row r="6110" s="1" customFormat="1" ht="15.95" customHeight="1" x14ac:dyDescent="0.25"/>
    <row r="6111" s="1" customFormat="1" ht="15.95" customHeight="1" x14ac:dyDescent="0.25"/>
    <row r="6112" s="1" customFormat="1" ht="15.95" customHeight="1" x14ac:dyDescent="0.25"/>
    <row r="6113" s="1" customFormat="1" ht="15.95" customHeight="1" x14ac:dyDescent="0.25"/>
    <row r="6114" s="1" customFormat="1" ht="15.95" customHeight="1" x14ac:dyDescent="0.25"/>
    <row r="6115" s="1" customFormat="1" ht="15.95" customHeight="1" x14ac:dyDescent="0.25"/>
    <row r="6116" s="1" customFormat="1" ht="15.95" customHeight="1" x14ac:dyDescent="0.25"/>
    <row r="6117" s="1" customFormat="1" ht="15.95" customHeight="1" x14ac:dyDescent="0.25"/>
    <row r="6118" s="1" customFormat="1" ht="15.95" customHeight="1" x14ac:dyDescent="0.25"/>
    <row r="6119" s="1" customFormat="1" ht="15.95" customHeight="1" x14ac:dyDescent="0.25"/>
    <row r="6120" s="1" customFormat="1" ht="15.95" customHeight="1" x14ac:dyDescent="0.25"/>
    <row r="6121" s="1" customFormat="1" ht="15.95" customHeight="1" x14ac:dyDescent="0.25"/>
    <row r="6122" s="1" customFormat="1" ht="15.95" customHeight="1" x14ac:dyDescent="0.25"/>
    <row r="6123" s="1" customFormat="1" ht="15.95" customHeight="1" x14ac:dyDescent="0.25"/>
    <row r="6124" s="1" customFormat="1" ht="15.95" customHeight="1" x14ac:dyDescent="0.25"/>
    <row r="6125" s="1" customFormat="1" ht="15.95" customHeight="1" x14ac:dyDescent="0.25"/>
    <row r="6126" s="1" customFormat="1" ht="15.95" customHeight="1" x14ac:dyDescent="0.25"/>
    <row r="6127" s="1" customFormat="1" ht="15.95" customHeight="1" x14ac:dyDescent="0.25"/>
    <row r="6128" s="1" customFormat="1" ht="15.95" customHeight="1" x14ac:dyDescent="0.25"/>
    <row r="6129" s="1" customFormat="1" ht="15.95" customHeight="1" x14ac:dyDescent="0.25"/>
    <row r="6130" s="1" customFormat="1" ht="15.95" customHeight="1" x14ac:dyDescent="0.25"/>
    <row r="6131" s="1" customFormat="1" ht="15.95" customHeight="1" x14ac:dyDescent="0.25"/>
    <row r="6132" s="1" customFormat="1" ht="15.95" customHeight="1" x14ac:dyDescent="0.25"/>
    <row r="6133" s="1" customFormat="1" ht="15.95" customHeight="1" x14ac:dyDescent="0.25"/>
    <row r="6134" s="1" customFormat="1" ht="15.95" customHeight="1" x14ac:dyDescent="0.25"/>
    <row r="6135" s="1" customFormat="1" ht="15.95" customHeight="1" x14ac:dyDescent="0.25"/>
    <row r="6136" s="1" customFormat="1" ht="15.95" customHeight="1" x14ac:dyDescent="0.25"/>
    <row r="6137" s="1" customFormat="1" ht="15.95" customHeight="1" x14ac:dyDescent="0.25"/>
    <row r="6138" s="1" customFormat="1" ht="15.95" customHeight="1" x14ac:dyDescent="0.25"/>
    <row r="6139" s="1" customFormat="1" ht="15.95" customHeight="1" x14ac:dyDescent="0.25"/>
    <row r="6140" s="1" customFormat="1" ht="15.95" customHeight="1" x14ac:dyDescent="0.25"/>
    <row r="6141" s="1" customFormat="1" ht="15.95" customHeight="1" x14ac:dyDescent="0.25"/>
    <row r="6142" s="1" customFormat="1" ht="15.95" customHeight="1" x14ac:dyDescent="0.25"/>
    <row r="6143" s="1" customFormat="1" ht="15.95" customHeight="1" x14ac:dyDescent="0.25"/>
    <row r="6144" s="1" customFormat="1" ht="15.95" customHeight="1" x14ac:dyDescent="0.25"/>
    <row r="6145" s="1" customFormat="1" ht="15.95" customHeight="1" x14ac:dyDescent="0.25"/>
    <row r="6146" s="1" customFormat="1" ht="15.95" customHeight="1" x14ac:dyDescent="0.25"/>
    <row r="6147" s="1" customFormat="1" ht="15.95" customHeight="1" x14ac:dyDescent="0.25"/>
    <row r="6148" s="1" customFormat="1" ht="15.95" customHeight="1" x14ac:dyDescent="0.25"/>
    <row r="6149" s="1" customFormat="1" ht="15.95" customHeight="1" x14ac:dyDescent="0.25"/>
    <row r="6150" s="1" customFormat="1" ht="15.95" customHeight="1" x14ac:dyDescent="0.25"/>
    <row r="6151" s="1" customFormat="1" ht="15.95" customHeight="1" x14ac:dyDescent="0.25"/>
    <row r="6152" s="1" customFormat="1" ht="15.95" customHeight="1" x14ac:dyDescent="0.25"/>
    <row r="6153" s="1" customFormat="1" ht="15.95" customHeight="1" x14ac:dyDescent="0.25"/>
    <row r="6154" s="1" customFormat="1" ht="15.95" customHeight="1" x14ac:dyDescent="0.25"/>
    <row r="6155" s="1" customFormat="1" ht="15.95" customHeight="1" x14ac:dyDescent="0.25"/>
    <row r="6156" s="1" customFormat="1" ht="15.95" customHeight="1" x14ac:dyDescent="0.25"/>
    <row r="6157" s="1" customFormat="1" ht="15.95" customHeight="1" x14ac:dyDescent="0.25"/>
    <row r="6158" s="1" customFormat="1" ht="15.95" customHeight="1" x14ac:dyDescent="0.25"/>
    <row r="6159" s="1" customFormat="1" ht="15.95" customHeight="1" x14ac:dyDescent="0.25"/>
    <row r="6160" s="1" customFormat="1" ht="15.95" customHeight="1" x14ac:dyDescent="0.25"/>
    <row r="6161" s="1" customFormat="1" ht="15.95" customHeight="1" x14ac:dyDescent="0.25"/>
    <row r="6162" s="1" customFormat="1" ht="15.95" customHeight="1" x14ac:dyDescent="0.25"/>
    <row r="6163" s="1" customFormat="1" ht="15.95" customHeight="1" x14ac:dyDescent="0.25"/>
    <row r="6164" s="1" customFormat="1" ht="15.95" customHeight="1" x14ac:dyDescent="0.25"/>
    <row r="6165" s="1" customFormat="1" ht="15.95" customHeight="1" x14ac:dyDescent="0.25"/>
    <row r="6166" s="1" customFormat="1" ht="15.95" customHeight="1" x14ac:dyDescent="0.25"/>
    <row r="6167" s="1" customFormat="1" ht="15.95" customHeight="1" x14ac:dyDescent="0.25"/>
    <row r="6168" s="1" customFormat="1" ht="15.95" customHeight="1" x14ac:dyDescent="0.25"/>
    <row r="6169" s="1" customFormat="1" ht="15.95" customHeight="1" x14ac:dyDescent="0.25"/>
    <row r="6170" s="1" customFormat="1" ht="15.95" customHeight="1" x14ac:dyDescent="0.25"/>
    <row r="6171" s="1" customFormat="1" ht="15.95" customHeight="1" x14ac:dyDescent="0.25"/>
    <row r="6172" s="1" customFormat="1" ht="15.95" customHeight="1" x14ac:dyDescent="0.25"/>
    <row r="6173" s="1" customFormat="1" ht="15.95" customHeight="1" x14ac:dyDescent="0.25"/>
    <row r="6174" s="1" customFormat="1" ht="15.95" customHeight="1" x14ac:dyDescent="0.25"/>
    <row r="6175" s="1" customFormat="1" ht="15.95" customHeight="1" x14ac:dyDescent="0.25"/>
    <row r="6176" s="1" customFormat="1" ht="15.95" customHeight="1" x14ac:dyDescent="0.25"/>
    <row r="6177" s="1" customFormat="1" ht="15.95" customHeight="1" x14ac:dyDescent="0.25"/>
    <row r="6178" s="1" customFormat="1" ht="15.95" customHeight="1" x14ac:dyDescent="0.25"/>
    <row r="6179" s="1" customFormat="1" ht="15.95" customHeight="1" x14ac:dyDescent="0.25"/>
    <row r="6180" s="1" customFormat="1" ht="15.95" customHeight="1" x14ac:dyDescent="0.25"/>
    <row r="6181" s="1" customFormat="1" ht="15.95" customHeight="1" x14ac:dyDescent="0.25"/>
    <row r="6182" s="1" customFormat="1" ht="15.95" customHeight="1" x14ac:dyDescent="0.25"/>
    <row r="6183" s="1" customFormat="1" ht="15.95" customHeight="1" x14ac:dyDescent="0.25"/>
    <row r="6184" s="1" customFormat="1" ht="15.95" customHeight="1" x14ac:dyDescent="0.25"/>
    <row r="6185" s="1" customFormat="1" ht="15.95" customHeight="1" x14ac:dyDescent="0.25"/>
    <row r="6186" s="1" customFormat="1" ht="15.95" customHeight="1" x14ac:dyDescent="0.25"/>
    <row r="6187" s="1" customFormat="1" ht="15.95" customHeight="1" x14ac:dyDescent="0.25"/>
    <row r="6188" s="1" customFormat="1" ht="15.95" customHeight="1" x14ac:dyDescent="0.25"/>
    <row r="6189" s="1" customFormat="1" ht="15.95" customHeight="1" x14ac:dyDescent="0.25"/>
    <row r="6190" s="1" customFormat="1" ht="15.95" customHeight="1" x14ac:dyDescent="0.25"/>
    <row r="6191" s="1" customFormat="1" ht="15.95" customHeight="1" x14ac:dyDescent="0.25"/>
    <row r="6192" s="1" customFormat="1" ht="15.95" customHeight="1" x14ac:dyDescent="0.25"/>
    <row r="6193" s="1" customFormat="1" ht="15.95" customHeight="1" x14ac:dyDescent="0.25"/>
    <row r="6194" s="1" customFormat="1" ht="15.95" customHeight="1" x14ac:dyDescent="0.25"/>
    <row r="6195" s="1" customFormat="1" ht="15.95" customHeight="1" x14ac:dyDescent="0.25"/>
    <row r="6196" s="1" customFormat="1" ht="15.95" customHeight="1" x14ac:dyDescent="0.25"/>
    <row r="6197" s="1" customFormat="1" ht="15.95" customHeight="1" x14ac:dyDescent="0.25"/>
    <row r="6198" s="1" customFormat="1" ht="15.95" customHeight="1" x14ac:dyDescent="0.25"/>
    <row r="6199" s="1" customFormat="1" ht="15.95" customHeight="1" x14ac:dyDescent="0.25"/>
    <row r="6200" s="1" customFormat="1" ht="15.95" customHeight="1" x14ac:dyDescent="0.25"/>
    <row r="6201" s="1" customFormat="1" ht="15.95" customHeight="1" x14ac:dyDescent="0.25"/>
    <row r="6202" s="1" customFormat="1" ht="15.95" customHeight="1" x14ac:dyDescent="0.25"/>
    <row r="6203" s="1" customFormat="1" ht="15.95" customHeight="1" x14ac:dyDescent="0.25"/>
    <row r="6204" s="1" customFormat="1" ht="15.95" customHeight="1" x14ac:dyDescent="0.25"/>
    <row r="6205" s="1" customFormat="1" ht="15.95" customHeight="1" x14ac:dyDescent="0.25"/>
    <row r="6206" s="1" customFormat="1" ht="15.95" customHeight="1" x14ac:dyDescent="0.25"/>
    <row r="6207" s="1" customFormat="1" ht="15.95" customHeight="1" x14ac:dyDescent="0.25"/>
    <row r="6208" s="1" customFormat="1" ht="15.95" customHeight="1" x14ac:dyDescent="0.25"/>
    <row r="6209" s="1" customFormat="1" ht="15.95" customHeight="1" x14ac:dyDescent="0.25"/>
    <row r="6210" s="1" customFormat="1" ht="15.95" customHeight="1" x14ac:dyDescent="0.25"/>
    <row r="6211" s="1" customFormat="1" ht="15.95" customHeight="1" x14ac:dyDescent="0.25"/>
    <row r="6212" s="1" customFormat="1" ht="15.95" customHeight="1" x14ac:dyDescent="0.25"/>
    <row r="6213" s="1" customFormat="1" ht="15.95" customHeight="1" x14ac:dyDescent="0.25"/>
    <row r="6214" s="1" customFormat="1" ht="15.95" customHeight="1" x14ac:dyDescent="0.25"/>
    <row r="6215" s="1" customFormat="1" ht="15.95" customHeight="1" x14ac:dyDescent="0.25"/>
    <row r="6216" s="1" customFormat="1" ht="15.95" customHeight="1" x14ac:dyDescent="0.25"/>
    <row r="6217" s="1" customFormat="1" ht="15.95" customHeight="1" x14ac:dyDescent="0.25"/>
    <row r="6218" s="1" customFormat="1" ht="15.95" customHeight="1" x14ac:dyDescent="0.25"/>
    <row r="6219" s="1" customFormat="1" ht="15.95" customHeight="1" x14ac:dyDescent="0.25"/>
    <row r="6220" s="1" customFormat="1" ht="15.95" customHeight="1" x14ac:dyDescent="0.25"/>
    <row r="6221" s="1" customFormat="1" ht="15.95" customHeight="1" x14ac:dyDescent="0.25"/>
    <row r="6222" s="1" customFormat="1" ht="15.95" customHeight="1" x14ac:dyDescent="0.25"/>
    <row r="6223" s="1" customFormat="1" ht="15.95" customHeight="1" x14ac:dyDescent="0.25"/>
    <row r="6224" s="1" customFormat="1" ht="15.95" customHeight="1" x14ac:dyDescent="0.25"/>
    <row r="6225" s="1" customFormat="1" ht="15.95" customHeight="1" x14ac:dyDescent="0.25"/>
    <row r="6226" s="1" customFormat="1" ht="15.95" customHeight="1" x14ac:dyDescent="0.25"/>
    <row r="6227" s="1" customFormat="1" ht="15.95" customHeight="1" x14ac:dyDescent="0.25"/>
    <row r="6228" s="1" customFormat="1" ht="15.95" customHeight="1" x14ac:dyDescent="0.25"/>
    <row r="6229" s="1" customFormat="1" ht="15.95" customHeight="1" x14ac:dyDescent="0.25"/>
    <row r="6230" s="1" customFormat="1" ht="15.95" customHeight="1" x14ac:dyDescent="0.25"/>
    <row r="6231" s="1" customFormat="1" ht="15.95" customHeight="1" x14ac:dyDescent="0.25"/>
    <row r="6232" s="1" customFormat="1" ht="15.95" customHeight="1" x14ac:dyDescent="0.25"/>
    <row r="6233" s="1" customFormat="1" ht="15.95" customHeight="1" x14ac:dyDescent="0.25"/>
    <row r="6234" s="1" customFormat="1" ht="15.95" customHeight="1" x14ac:dyDescent="0.25"/>
    <row r="6235" s="1" customFormat="1" ht="15.95" customHeight="1" x14ac:dyDescent="0.25"/>
    <row r="6236" s="1" customFormat="1" ht="15.95" customHeight="1" x14ac:dyDescent="0.25"/>
    <row r="6237" s="1" customFormat="1" ht="15.95" customHeight="1" x14ac:dyDescent="0.25"/>
    <row r="6238" s="1" customFormat="1" ht="15.95" customHeight="1" x14ac:dyDescent="0.25"/>
    <row r="6239" s="1" customFormat="1" ht="15.95" customHeight="1" x14ac:dyDescent="0.25"/>
    <row r="6240" s="1" customFormat="1" ht="15.95" customHeight="1" x14ac:dyDescent="0.25"/>
    <row r="6241" s="1" customFormat="1" ht="15.95" customHeight="1" x14ac:dyDescent="0.25"/>
    <row r="6242" s="1" customFormat="1" ht="15.95" customHeight="1" x14ac:dyDescent="0.25"/>
    <row r="6243" s="1" customFormat="1" ht="15.95" customHeight="1" x14ac:dyDescent="0.25"/>
    <row r="6244" s="1" customFormat="1" ht="15.95" customHeight="1" x14ac:dyDescent="0.25"/>
    <row r="6245" s="1" customFormat="1" ht="15.95" customHeight="1" x14ac:dyDescent="0.25"/>
    <row r="6246" s="1" customFormat="1" ht="15.95" customHeight="1" x14ac:dyDescent="0.25"/>
    <row r="6247" s="1" customFormat="1" ht="15.95" customHeight="1" x14ac:dyDescent="0.25"/>
    <row r="6248" s="1" customFormat="1" ht="15.95" customHeight="1" x14ac:dyDescent="0.25"/>
    <row r="6249" s="1" customFormat="1" ht="15.95" customHeight="1" x14ac:dyDescent="0.25"/>
    <row r="6250" s="1" customFormat="1" ht="15.95" customHeight="1" x14ac:dyDescent="0.25"/>
    <row r="6251" s="1" customFormat="1" ht="15.95" customHeight="1" x14ac:dyDescent="0.25"/>
    <row r="6252" s="1" customFormat="1" ht="15.95" customHeight="1" x14ac:dyDescent="0.25"/>
    <row r="6253" s="1" customFormat="1" ht="15.95" customHeight="1" x14ac:dyDescent="0.25"/>
    <row r="6254" s="1" customFormat="1" ht="15.95" customHeight="1" x14ac:dyDescent="0.25"/>
    <row r="6255" s="1" customFormat="1" ht="15.95" customHeight="1" x14ac:dyDescent="0.25"/>
    <row r="6256" s="1" customFormat="1" ht="15.95" customHeight="1" x14ac:dyDescent="0.25"/>
    <row r="6257" s="1" customFormat="1" ht="15.95" customHeight="1" x14ac:dyDescent="0.25"/>
    <row r="6258" s="1" customFormat="1" ht="15.95" customHeight="1" x14ac:dyDescent="0.25"/>
    <row r="6259" s="1" customFormat="1" ht="15.95" customHeight="1" x14ac:dyDescent="0.25"/>
    <row r="6260" s="1" customFormat="1" ht="15.95" customHeight="1" x14ac:dyDescent="0.25"/>
    <row r="6261" s="1" customFormat="1" ht="15.95" customHeight="1" x14ac:dyDescent="0.25"/>
    <row r="6262" s="1" customFormat="1" ht="15.95" customHeight="1" x14ac:dyDescent="0.25"/>
    <row r="6263" s="1" customFormat="1" ht="15.95" customHeight="1" x14ac:dyDescent="0.25"/>
    <row r="6264" s="1" customFormat="1" ht="15.95" customHeight="1" x14ac:dyDescent="0.25"/>
    <row r="6265" s="1" customFormat="1" ht="15.95" customHeight="1" x14ac:dyDescent="0.25"/>
    <row r="6266" s="1" customFormat="1" ht="15.95" customHeight="1" x14ac:dyDescent="0.25"/>
    <row r="6267" s="1" customFormat="1" ht="15.95" customHeight="1" x14ac:dyDescent="0.25"/>
    <row r="6268" s="1" customFormat="1" ht="15.95" customHeight="1" x14ac:dyDescent="0.25"/>
    <row r="6269" s="1" customFormat="1" ht="15.95" customHeight="1" x14ac:dyDescent="0.25"/>
    <row r="6270" s="1" customFormat="1" ht="15.95" customHeight="1" x14ac:dyDescent="0.25"/>
    <row r="6271" s="1" customFormat="1" ht="15.95" customHeight="1" x14ac:dyDescent="0.25"/>
    <row r="6272" s="1" customFormat="1" ht="15.95" customHeight="1" x14ac:dyDescent="0.25"/>
    <row r="6273" s="1" customFormat="1" ht="15.95" customHeight="1" x14ac:dyDescent="0.25"/>
    <row r="6274" s="1" customFormat="1" ht="15.95" customHeight="1" x14ac:dyDescent="0.25"/>
    <row r="6275" s="1" customFormat="1" ht="15.95" customHeight="1" x14ac:dyDescent="0.25"/>
    <row r="6276" s="1" customFormat="1" ht="15.95" customHeight="1" x14ac:dyDescent="0.25"/>
    <row r="6277" s="1" customFormat="1" ht="15.95" customHeight="1" x14ac:dyDescent="0.25"/>
    <row r="6278" s="1" customFormat="1" ht="15.95" customHeight="1" x14ac:dyDescent="0.25"/>
    <row r="6279" s="1" customFormat="1" ht="15.95" customHeight="1" x14ac:dyDescent="0.25"/>
    <row r="6280" s="1" customFormat="1" ht="15.95" customHeight="1" x14ac:dyDescent="0.25"/>
    <row r="6281" s="1" customFormat="1" ht="15.95" customHeight="1" x14ac:dyDescent="0.25"/>
    <row r="6282" s="1" customFormat="1" ht="15.95" customHeight="1" x14ac:dyDescent="0.25"/>
    <row r="6283" s="1" customFormat="1" ht="15.95" customHeight="1" x14ac:dyDescent="0.25"/>
    <row r="6284" s="1" customFormat="1" ht="15.95" customHeight="1" x14ac:dyDescent="0.25"/>
    <row r="6285" s="1" customFormat="1" ht="15.95" customHeight="1" x14ac:dyDescent="0.25"/>
    <row r="6286" s="1" customFormat="1" ht="15.95" customHeight="1" x14ac:dyDescent="0.25"/>
    <row r="6287" s="1" customFormat="1" ht="15.95" customHeight="1" x14ac:dyDescent="0.25"/>
    <row r="6288" s="1" customFormat="1" ht="15.95" customHeight="1" x14ac:dyDescent="0.25"/>
    <row r="6289" s="1" customFormat="1" ht="15.95" customHeight="1" x14ac:dyDescent="0.25"/>
    <row r="6290" s="1" customFormat="1" ht="15.95" customHeight="1" x14ac:dyDescent="0.25"/>
    <row r="6291" s="1" customFormat="1" ht="15.95" customHeight="1" x14ac:dyDescent="0.25"/>
    <row r="6292" s="1" customFormat="1" ht="15.95" customHeight="1" x14ac:dyDescent="0.25"/>
    <row r="6293" s="1" customFormat="1" ht="15.95" customHeight="1" x14ac:dyDescent="0.25"/>
    <row r="6294" s="1" customFormat="1" ht="15.95" customHeight="1" x14ac:dyDescent="0.25"/>
    <row r="6295" s="1" customFormat="1" ht="15.95" customHeight="1" x14ac:dyDescent="0.25"/>
    <row r="6296" s="1" customFormat="1" ht="15.95" customHeight="1" x14ac:dyDescent="0.25"/>
    <row r="6297" s="1" customFormat="1" ht="15.95" customHeight="1" x14ac:dyDescent="0.25"/>
    <row r="6298" s="1" customFormat="1" ht="15.95" customHeight="1" x14ac:dyDescent="0.25"/>
    <row r="6299" s="1" customFormat="1" ht="15.95" customHeight="1" x14ac:dyDescent="0.25"/>
    <row r="6300" s="1" customFormat="1" ht="15.95" customHeight="1" x14ac:dyDescent="0.25"/>
    <row r="6301" s="1" customFormat="1" ht="15.95" customHeight="1" x14ac:dyDescent="0.25"/>
    <row r="6302" s="1" customFormat="1" ht="15.95" customHeight="1" x14ac:dyDescent="0.25"/>
    <row r="6303" s="1" customFormat="1" ht="15.95" customHeight="1" x14ac:dyDescent="0.25"/>
    <row r="6304" s="1" customFormat="1" ht="15.95" customHeight="1" x14ac:dyDescent="0.25"/>
    <row r="6305" s="1" customFormat="1" ht="15.95" customHeight="1" x14ac:dyDescent="0.25"/>
    <row r="6306" s="1" customFormat="1" ht="15.95" customHeight="1" x14ac:dyDescent="0.25"/>
    <row r="6307" s="1" customFormat="1" ht="15.95" customHeight="1" x14ac:dyDescent="0.25"/>
    <row r="6308" s="1" customFormat="1" ht="15.95" customHeight="1" x14ac:dyDescent="0.25"/>
    <row r="6309" s="1" customFormat="1" ht="15.95" customHeight="1" x14ac:dyDescent="0.25"/>
    <row r="6310" s="1" customFormat="1" ht="15.95" customHeight="1" x14ac:dyDescent="0.25"/>
    <row r="6311" s="1" customFormat="1" ht="15.95" customHeight="1" x14ac:dyDescent="0.25"/>
    <row r="6312" s="1" customFormat="1" ht="15.95" customHeight="1" x14ac:dyDescent="0.25"/>
    <row r="6313" s="1" customFormat="1" ht="15.95" customHeight="1" x14ac:dyDescent="0.25"/>
    <row r="6314" s="1" customFormat="1" ht="15.95" customHeight="1" x14ac:dyDescent="0.25"/>
    <row r="6315" s="1" customFormat="1" ht="15.95" customHeight="1" x14ac:dyDescent="0.25"/>
    <row r="6316" s="1" customFormat="1" ht="15.95" customHeight="1" x14ac:dyDescent="0.25"/>
    <row r="6317" s="1" customFormat="1" ht="15.95" customHeight="1" x14ac:dyDescent="0.25"/>
    <row r="6318" s="1" customFormat="1" ht="15.95" customHeight="1" x14ac:dyDescent="0.25"/>
    <row r="6319" s="1" customFormat="1" ht="15.95" customHeight="1" x14ac:dyDescent="0.25"/>
    <row r="6320" s="1" customFormat="1" ht="15.95" customHeight="1" x14ac:dyDescent="0.25"/>
    <row r="6321" s="1" customFormat="1" ht="15.95" customHeight="1" x14ac:dyDescent="0.25"/>
    <row r="6322" s="1" customFormat="1" ht="15.95" customHeight="1" x14ac:dyDescent="0.25"/>
    <row r="6323" s="1" customFormat="1" ht="15.95" customHeight="1" x14ac:dyDescent="0.25"/>
    <row r="6324" s="1" customFormat="1" ht="15.95" customHeight="1" x14ac:dyDescent="0.25"/>
    <row r="6325" s="1" customFormat="1" ht="15.95" customHeight="1" x14ac:dyDescent="0.25"/>
    <row r="6326" s="1" customFormat="1" ht="15.95" customHeight="1" x14ac:dyDescent="0.25"/>
    <row r="6327" s="1" customFormat="1" ht="15.95" customHeight="1" x14ac:dyDescent="0.25"/>
    <row r="6328" s="1" customFormat="1" ht="15.95" customHeight="1" x14ac:dyDescent="0.25"/>
    <row r="6329" s="1" customFormat="1" ht="15.95" customHeight="1" x14ac:dyDescent="0.25"/>
    <row r="6330" s="1" customFormat="1" ht="15.95" customHeight="1" x14ac:dyDescent="0.25"/>
    <row r="6331" s="1" customFormat="1" ht="15.95" customHeight="1" x14ac:dyDescent="0.25"/>
    <row r="6332" s="1" customFormat="1" ht="15.95" customHeight="1" x14ac:dyDescent="0.25"/>
    <row r="6333" s="1" customFormat="1" ht="15.95" customHeight="1" x14ac:dyDescent="0.25"/>
    <row r="6334" s="1" customFormat="1" ht="15.95" customHeight="1" x14ac:dyDescent="0.25"/>
    <row r="6335" s="1" customFormat="1" ht="15.95" customHeight="1" x14ac:dyDescent="0.25"/>
    <row r="6336" s="1" customFormat="1" ht="15.95" customHeight="1" x14ac:dyDescent="0.25"/>
    <row r="6337" s="1" customFormat="1" ht="15.95" customHeight="1" x14ac:dyDescent="0.25"/>
    <row r="6338" s="1" customFormat="1" ht="15.95" customHeight="1" x14ac:dyDescent="0.25"/>
    <row r="6339" s="1" customFormat="1" ht="15.95" customHeight="1" x14ac:dyDescent="0.25"/>
    <row r="6340" s="1" customFormat="1" ht="15.95" customHeight="1" x14ac:dyDescent="0.25"/>
    <row r="6341" s="1" customFormat="1" ht="15.95" customHeight="1" x14ac:dyDescent="0.25"/>
    <row r="6342" s="1" customFormat="1" ht="15.95" customHeight="1" x14ac:dyDescent="0.25"/>
    <row r="6343" s="1" customFormat="1" ht="15.95" customHeight="1" x14ac:dyDescent="0.25"/>
    <row r="6344" s="1" customFormat="1" ht="15.95" customHeight="1" x14ac:dyDescent="0.25"/>
    <row r="6345" s="1" customFormat="1" ht="15.95" customHeight="1" x14ac:dyDescent="0.25"/>
    <row r="6346" s="1" customFormat="1" ht="15.95" customHeight="1" x14ac:dyDescent="0.25"/>
    <row r="6347" s="1" customFormat="1" ht="15.95" customHeight="1" x14ac:dyDescent="0.25"/>
    <row r="6348" s="1" customFormat="1" ht="15.95" customHeight="1" x14ac:dyDescent="0.25"/>
    <row r="6349" s="1" customFormat="1" ht="15.95" customHeight="1" x14ac:dyDescent="0.25"/>
    <row r="6350" s="1" customFormat="1" ht="15.95" customHeight="1" x14ac:dyDescent="0.25"/>
    <row r="6351" s="1" customFormat="1" ht="15.95" customHeight="1" x14ac:dyDescent="0.25"/>
    <row r="6352" s="1" customFormat="1" ht="15.95" customHeight="1" x14ac:dyDescent="0.25"/>
    <row r="6353" s="1" customFormat="1" ht="15.95" customHeight="1" x14ac:dyDescent="0.25"/>
    <row r="6354" s="1" customFormat="1" ht="15.95" customHeight="1" x14ac:dyDescent="0.25"/>
    <row r="6355" s="1" customFormat="1" ht="15.95" customHeight="1" x14ac:dyDescent="0.25"/>
    <row r="6356" s="1" customFormat="1" ht="15.95" customHeight="1" x14ac:dyDescent="0.25"/>
    <row r="6357" s="1" customFormat="1" ht="15.95" customHeight="1" x14ac:dyDescent="0.25"/>
    <row r="6358" s="1" customFormat="1" ht="15.95" customHeight="1" x14ac:dyDescent="0.25"/>
    <row r="6359" s="1" customFormat="1" ht="15.95" customHeight="1" x14ac:dyDescent="0.25"/>
    <row r="6360" s="1" customFormat="1" ht="15.95" customHeight="1" x14ac:dyDescent="0.25"/>
    <row r="6361" s="1" customFormat="1" ht="15.95" customHeight="1" x14ac:dyDescent="0.25"/>
    <row r="6362" s="1" customFormat="1" ht="15.95" customHeight="1" x14ac:dyDescent="0.25"/>
    <row r="6363" s="1" customFormat="1" ht="15.95" customHeight="1" x14ac:dyDescent="0.25"/>
    <row r="6364" s="1" customFormat="1" ht="15.95" customHeight="1" x14ac:dyDescent="0.25"/>
    <row r="6365" s="1" customFormat="1" ht="15.95" customHeight="1" x14ac:dyDescent="0.25"/>
    <row r="6366" s="1" customFormat="1" ht="15.95" customHeight="1" x14ac:dyDescent="0.25"/>
    <row r="6367" s="1" customFormat="1" ht="15.95" customHeight="1" x14ac:dyDescent="0.25"/>
    <row r="6368" s="1" customFormat="1" ht="15.95" customHeight="1" x14ac:dyDescent="0.25"/>
    <row r="6369" s="1" customFormat="1" ht="15.95" customHeight="1" x14ac:dyDescent="0.25"/>
    <row r="6370" s="1" customFormat="1" ht="15.95" customHeight="1" x14ac:dyDescent="0.25"/>
    <row r="6371" s="1" customFormat="1" ht="15.95" customHeight="1" x14ac:dyDescent="0.25"/>
    <row r="6372" s="1" customFormat="1" ht="15.95" customHeight="1" x14ac:dyDescent="0.25"/>
    <row r="6373" s="1" customFormat="1" ht="15.95" customHeight="1" x14ac:dyDescent="0.25"/>
    <row r="6374" s="1" customFormat="1" ht="15.95" customHeight="1" x14ac:dyDescent="0.25"/>
    <row r="6375" s="1" customFormat="1" ht="15.95" customHeight="1" x14ac:dyDescent="0.25"/>
    <row r="6376" s="1" customFormat="1" ht="15.95" customHeight="1" x14ac:dyDescent="0.25"/>
    <row r="6377" s="1" customFormat="1" ht="15.95" customHeight="1" x14ac:dyDescent="0.25"/>
    <row r="6378" s="1" customFormat="1" ht="15.95" customHeight="1" x14ac:dyDescent="0.25"/>
    <row r="6379" s="1" customFormat="1" ht="15.95" customHeight="1" x14ac:dyDescent="0.25"/>
    <row r="6380" s="1" customFormat="1" ht="15.95" customHeight="1" x14ac:dyDescent="0.25"/>
    <row r="6381" s="1" customFormat="1" ht="15.95" customHeight="1" x14ac:dyDescent="0.25"/>
    <row r="6382" s="1" customFormat="1" ht="15.95" customHeight="1" x14ac:dyDescent="0.25"/>
    <row r="6383" s="1" customFormat="1" ht="15.95" customHeight="1" x14ac:dyDescent="0.25"/>
    <row r="6384" s="1" customFormat="1" ht="15.95" customHeight="1" x14ac:dyDescent="0.25"/>
    <row r="6385" s="1" customFormat="1" ht="15.95" customHeight="1" x14ac:dyDescent="0.25"/>
    <row r="6386" s="1" customFormat="1" ht="15.95" customHeight="1" x14ac:dyDescent="0.25"/>
    <row r="6387" s="1" customFormat="1" ht="15.95" customHeight="1" x14ac:dyDescent="0.25"/>
    <row r="6388" s="1" customFormat="1" ht="15.95" customHeight="1" x14ac:dyDescent="0.25"/>
    <row r="6389" s="1" customFormat="1" ht="15.95" customHeight="1" x14ac:dyDescent="0.25"/>
    <row r="6390" s="1" customFormat="1" ht="15.95" customHeight="1" x14ac:dyDescent="0.25"/>
    <row r="6391" s="1" customFormat="1" ht="15.95" customHeight="1" x14ac:dyDescent="0.25"/>
    <row r="6392" s="1" customFormat="1" ht="15.95" customHeight="1" x14ac:dyDescent="0.25"/>
    <row r="6393" s="1" customFormat="1" ht="15.95" customHeight="1" x14ac:dyDescent="0.25"/>
    <row r="6394" s="1" customFormat="1" ht="15.95" customHeight="1" x14ac:dyDescent="0.25"/>
    <row r="6395" s="1" customFormat="1" ht="15.95" customHeight="1" x14ac:dyDescent="0.25"/>
    <row r="6396" s="1" customFormat="1" ht="15.95" customHeight="1" x14ac:dyDescent="0.25"/>
    <row r="6397" s="1" customFormat="1" ht="15.95" customHeight="1" x14ac:dyDescent="0.25"/>
    <row r="6398" s="1" customFormat="1" ht="15.95" customHeight="1" x14ac:dyDescent="0.25"/>
    <row r="6399" s="1" customFormat="1" ht="15.95" customHeight="1" x14ac:dyDescent="0.25"/>
    <row r="6400" s="1" customFormat="1" ht="15.95" customHeight="1" x14ac:dyDescent="0.25"/>
    <row r="6401" s="1" customFormat="1" ht="15.95" customHeight="1" x14ac:dyDescent="0.25"/>
    <row r="6402" s="1" customFormat="1" ht="15.95" customHeight="1" x14ac:dyDescent="0.25"/>
    <row r="6403" s="1" customFormat="1" ht="15.95" customHeight="1" x14ac:dyDescent="0.25"/>
    <row r="6404" s="1" customFormat="1" ht="15.95" customHeight="1" x14ac:dyDescent="0.25"/>
    <row r="6405" s="1" customFormat="1" ht="15.95" customHeight="1" x14ac:dyDescent="0.25"/>
    <row r="6406" s="1" customFormat="1" ht="15.95" customHeight="1" x14ac:dyDescent="0.25"/>
    <row r="6407" s="1" customFormat="1" ht="15.95" customHeight="1" x14ac:dyDescent="0.25"/>
    <row r="6408" s="1" customFormat="1" ht="15.95" customHeight="1" x14ac:dyDescent="0.25"/>
    <row r="6409" s="1" customFormat="1" ht="15.95" customHeight="1" x14ac:dyDescent="0.25"/>
    <row r="6410" s="1" customFormat="1" ht="15.95" customHeight="1" x14ac:dyDescent="0.25"/>
    <row r="6411" s="1" customFormat="1" ht="15.95" customHeight="1" x14ac:dyDescent="0.25"/>
    <row r="6412" s="1" customFormat="1" ht="15.95" customHeight="1" x14ac:dyDescent="0.25"/>
    <row r="6413" s="1" customFormat="1" ht="15.95" customHeight="1" x14ac:dyDescent="0.25"/>
    <row r="6414" s="1" customFormat="1" ht="15.95" customHeight="1" x14ac:dyDescent="0.25"/>
    <row r="6415" s="1" customFormat="1" ht="15.95" customHeight="1" x14ac:dyDescent="0.25"/>
    <row r="6416" s="1" customFormat="1" ht="15.95" customHeight="1" x14ac:dyDescent="0.25"/>
    <row r="6417" s="1" customFormat="1" ht="15.95" customHeight="1" x14ac:dyDescent="0.25"/>
    <row r="6418" s="1" customFormat="1" ht="15.95" customHeight="1" x14ac:dyDescent="0.25"/>
    <row r="6419" s="1" customFormat="1" ht="15.95" customHeight="1" x14ac:dyDescent="0.25"/>
    <row r="6420" s="1" customFormat="1" ht="15.95" customHeight="1" x14ac:dyDescent="0.25"/>
    <row r="6421" s="1" customFormat="1" ht="15.95" customHeight="1" x14ac:dyDescent="0.25"/>
    <row r="6422" s="1" customFormat="1" ht="15.95" customHeight="1" x14ac:dyDescent="0.25"/>
    <row r="6423" s="1" customFormat="1" ht="15.95" customHeight="1" x14ac:dyDescent="0.25"/>
    <row r="6424" s="1" customFormat="1" ht="15.95" customHeight="1" x14ac:dyDescent="0.25"/>
    <row r="6425" s="1" customFormat="1" ht="15.95" customHeight="1" x14ac:dyDescent="0.25"/>
    <row r="6426" s="1" customFormat="1" ht="15.95" customHeight="1" x14ac:dyDescent="0.25"/>
    <row r="6427" s="1" customFormat="1" ht="15.95" customHeight="1" x14ac:dyDescent="0.25"/>
    <row r="6428" s="1" customFormat="1" ht="15.95" customHeight="1" x14ac:dyDescent="0.25"/>
    <row r="6429" s="1" customFormat="1" ht="15.95" customHeight="1" x14ac:dyDescent="0.25"/>
    <row r="6430" s="1" customFormat="1" ht="15.95" customHeight="1" x14ac:dyDescent="0.25"/>
    <row r="6431" s="1" customFormat="1" ht="15.95" customHeight="1" x14ac:dyDescent="0.25"/>
    <row r="6432" s="1" customFormat="1" ht="15.95" customHeight="1" x14ac:dyDescent="0.25"/>
    <row r="6433" s="1" customFormat="1" ht="15.95" customHeight="1" x14ac:dyDescent="0.25"/>
    <row r="6434" s="1" customFormat="1" ht="15.95" customHeight="1" x14ac:dyDescent="0.25"/>
    <row r="6435" s="1" customFormat="1" ht="15.95" customHeight="1" x14ac:dyDescent="0.25"/>
    <row r="6436" s="1" customFormat="1" ht="15.95" customHeight="1" x14ac:dyDescent="0.25"/>
    <row r="6437" s="1" customFormat="1" ht="15.95" customHeight="1" x14ac:dyDescent="0.25"/>
    <row r="6438" s="1" customFormat="1" ht="15.95" customHeight="1" x14ac:dyDescent="0.25"/>
    <row r="6439" s="1" customFormat="1" ht="15.95" customHeight="1" x14ac:dyDescent="0.25"/>
    <row r="6440" s="1" customFormat="1" ht="15.95" customHeight="1" x14ac:dyDescent="0.25"/>
    <row r="6441" s="1" customFormat="1" ht="15.95" customHeight="1" x14ac:dyDescent="0.25"/>
    <row r="6442" s="1" customFormat="1" ht="15.95" customHeight="1" x14ac:dyDescent="0.25"/>
    <row r="6443" s="1" customFormat="1" ht="15.95" customHeight="1" x14ac:dyDescent="0.25"/>
    <row r="6444" s="1" customFormat="1" ht="15.95" customHeight="1" x14ac:dyDescent="0.25"/>
    <row r="6445" s="1" customFormat="1" ht="15.95" customHeight="1" x14ac:dyDescent="0.25"/>
    <row r="6446" s="1" customFormat="1" ht="15.95" customHeight="1" x14ac:dyDescent="0.25"/>
    <row r="6447" s="1" customFormat="1" ht="15.95" customHeight="1" x14ac:dyDescent="0.25"/>
    <row r="6448" s="1" customFormat="1" ht="15.95" customHeight="1" x14ac:dyDescent="0.25"/>
    <row r="6449" s="1" customFormat="1" ht="15.95" customHeight="1" x14ac:dyDescent="0.25"/>
    <row r="6450" s="1" customFormat="1" ht="15.95" customHeight="1" x14ac:dyDescent="0.25"/>
    <row r="6451" s="1" customFormat="1" ht="15.95" customHeight="1" x14ac:dyDescent="0.25"/>
    <row r="6452" s="1" customFormat="1" ht="15.95" customHeight="1" x14ac:dyDescent="0.25"/>
    <row r="6453" s="1" customFormat="1" ht="15.95" customHeight="1" x14ac:dyDescent="0.25"/>
    <row r="6454" s="1" customFormat="1" ht="15.95" customHeight="1" x14ac:dyDescent="0.25"/>
    <row r="6455" s="1" customFormat="1" ht="15.95" customHeight="1" x14ac:dyDescent="0.25"/>
    <row r="6456" s="1" customFormat="1" ht="15.95" customHeight="1" x14ac:dyDescent="0.25"/>
    <row r="6457" s="1" customFormat="1" ht="15.95" customHeight="1" x14ac:dyDescent="0.25"/>
    <row r="6458" s="1" customFormat="1" ht="15.95" customHeight="1" x14ac:dyDescent="0.25"/>
    <row r="6459" s="1" customFormat="1" ht="15.95" customHeight="1" x14ac:dyDescent="0.25"/>
    <row r="6460" s="1" customFormat="1" ht="15.95" customHeight="1" x14ac:dyDescent="0.25"/>
    <row r="6461" s="1" customFormat="1" ht="15.95" customHeight="1" x14ac:dyDescent="0.25"/>
    <row r="6462" s="1" customFormat="1" ht="15.95" customHeight="1" x14ac:dyDescent="0.25"/>
    <row r="6463" s="1" customFormat="1" ht="15.95" customHeight="1" x14ac:dyDescent="0.25"/>
    <row r="6464" s="1" customFormat="1" ht="15.95" customHeight="1" x14ac:dyDescent="0.25"/>
    <row r="6465" s="1" customFormat="1" ht="15.95" customHeight="1" x14ac:dyDescent="0.25"/>
    <row r="6466" s="1" customFormat="1" ht="15.95" customHeight="1" x14ac:dyDescent="0.25"/>
    <row r="6467" s="1" customFormat="1" ht="15.95" customHeight="1" x14ac:dyDescent="0.25"/>
    <row r="6468" s="1" customFormat="1" ht="15.95" customHeight="1" x14ac:dyDescent="0.25"/>
    <row r="6469" s="1" customFormat="1" ht="15.95" customHeight="1" x14ac:dyDescent="0.25"/>
    <row r="6470" s="1" customFormat="1" ht="15.95" customHeight="1" x14ac:dyDescent="0.25"/>
    <row r="6471" s="1" customFormat="1" ht="15.95" customHeight="1" x14ac:dyDescent="0.25"/>
    <row r="6472" s="1" customFormat="1" ht="15.95" customHeight="1" x14ac:dyDescent="0.25"/>
    <row r="6473" s="1" customFormat="1" ht="15.95" customHeight="1" x14ac:dyDescent="0.25"/>
    <row r="6474" s="1" customFormat="1" ht="15.95" customHeight="1" x14ac:dyDescent="0.25"/>
    <row r="6475" s="1" customFormat="1" ht="15.95" customHeight="1" x14ac:dyDescent="0.25"/>
    <row r="6476" s="1" customFormat="1" ht="15.95" customHeight="1" x14ac:dyDescent="0.25"/>
    <row r="6477" s="1" customFormat="1" ht="15.95" customHeight="1" x14ac:dyDescent="0.25"/>
    <row r="6478" s="1" customFormat="1" ht="15.95" customHeight="1" x14ac:dyDescent="0.25"/>
    <row r="6479" s="1" customFormat="1" ht="15.95" customHeight="1" x14ac:dyDescent="0.25"/>
    <row r="6480" s="1" customFormat="1" ht="15.95" customHeight="1" x14ac:dyDescent="0.25"/>
    <row r="6481" s="1" customFormat="1" ht="15.95" customHeight="1" x14ac:dyDescent="0.25"/>
    <row r="6482" s="1" customFormat="1" ht="15.95" customHeight="1" x14ac:dyDescent="0.25"/>
    <row r="6483" s="1" customFormat="1" ht="15.95" customHeight="1" x14ac:dyDescent="0.25"/>
    <row r="6484" s="1" customFormat="1" ht="15.95" customHeight="1" x14ac:dyDescent="0.25"/>
    <row r="6485" s="1" customFormat="1" ht="15.95" customHeight="1" x14ac:dyDescent="0.25"/>
    <row r="6486" s="1" customFormat="1" ht="15.95" customHeight="1" x14ac:dyDescent="0.25"/>
    <row r="6487" s="1" customFormat="1" ht="15.95" customHeight="1" x14ac:dyDescent="0.25"/>
    <row r="6488" s="1" customFormat="1" ht="15.95" customHeight="1" x14ac:dyDescent="0.25"/>
    <row r="6489" s="1" customFormat="1" ht="15.95" customHeight="1" x14ac:dyDescent="0.25"/>
    <row r="6490" s="1" customFormat="1" ht="15.95" customHeight="1" x14ac:dyDescent="0.25"/>
    <row r="6491" s="1" customFormat="1" ht="15.95" customHeight="1" x14ac:dyDescent="0.25"/>
    <row r="6492" s="1" customFormat="1" ht="15.95" customHeight="1" x14ac:dyDescent="0.25"/>
    <row r="6493" s="1" customFormat="1" ht="15.95" customHeight="1" x14ac:dyDescent="0.25"/>
    <row r="6494" s="1" customFormat="1" ht="15.95" customHeight="1" x14ac:dyDescent="0.25"/>
    <row r="6495" s="1" customFormat="1" ht="15.95" customHeight="1" x14ac:dyDescent="0.25"/>
    <row r="6496" s="1" customFormat="1" ht="15.95" customHeight="1" x14ac:dyDescent="0.25"/>
    <row r="6497" s="1" customFormat="1" ht="15.95" customHeight="1" x14ac:dyDescent="0.25"/>
    <row r="6498" s="1" customFormat="1" ht="15.95" customHeight="1" x14ac:dyDescent="0.25"/>
    <row r="6499" s="1" customFormat="1" ht="15.95" customHeight="1" x14ac:dyDescent="0.25"/>
    <row r="6500" s="1" customFormat="1" ht="15.95" customHeight="1" x14ac:dyDescent="0.25"/>
    <row r="6501" s="1" customFormat="1" ht="15.95" customHeight="1" x14ac:dyDescent="0.25"/>
    <row r="6502" s="1" customFormat="1" ht="15.95" customHeight="1" x14ac:dyDescent="0.25"/>
    <row r="6503" s="1" customFormat="1" ht="15.95" customHeight="1" x14ac:dyDescent="0.25"/>
    <row r="6504" s="1" customFormat="1" ht="15.95" customHeight="1" x14ac:dyDescent="0.25"/>
    <row r="6505" s="1" customFormat="1" ht="15.95" customHeight="1" x14ac:dyDescent="0.25"/>
    <row r="6506" s="1" customFormat="1" ht="15.95" customHeight="1" x14ac:dyDescent="0.25"/>
    <row r="6507" s="1" customFormat="1" ht="15.95" customHeight="1" x14ac:dyDescent="0.25"/>
    <row r="6508" s="1" customFormat="1" ht="15.95" customHeight="1" x14ac:dyDescent="0.25"/>
    <row r="6509" s="1" customFormat="1" ht="15.95" customHeight="1" x14ac:dyDescent="0.25"/>
    <row r="6510" s="1" customFormat="1" ht="15.95" customHeight="1" x14ac:dyDescent="0.25"/>
    <row r="6511" s="1" customFormat="1" ht="15.95" customHeight="1" x14ac:dyDescent="0.25"/>
    <row r="6512" s="1" customFormat="1" ht="15.95" customHeight="1" x14ac:dyDescent="0.25"/>
    <row r="6513" s="1" customFormat="1" ht="15.95" customHeight="1" x14ac:dyDescent="0.25"/>
    <row r="6514" s="1" customFormat="1" ht="15.95" customHeight="1" x14ac:dyDescent="0.25"/>
    <row r="6515" s="1" customFormat="1" ht="15.95" customHeight="1" x14ac:dyDescent="0.25"/>
    <row r="6516" s="1" customFormat="1" ht="15.95" customHeight="1" x14ac:dyDescent="0.25"/>
    <row r="6517" s="1" customFormat="1" ht="15.95" customHeight="1" x14ac:dyDescent="0.25"/>
    <row r="6518" s="1" customFormat="1" ht="15.95" customHeight="1" x14ac:dyDescent="0.25"/>
    <row r="6519" s="1" customFormat="1" ht="15.95" customHeight="1" x14ac:dyDescent="0.25"/>
    <row r="6520" s="1" customFormat="1" ht="15.95" customHeight="1" x14ac:dyDescent="0.25"/>
    <row r="6521" s="1" customFormat="1" ht="15.95" customHeight="1" x14ac:dyDescent="0.25"/>
    <row r="6522" s="1" customFormat="1" ht="15.95" customHeight="1" x14ac:dyDescent="0.25"/>
    <row r="6523" s="1" customFormat="1" ht="15.95" customHeight="1" x14ac:dyDescent="0.25"/>
    <row r="6524" s="1" customFormat="1" ht="15.95" customHeight="1" x14ac:dyDescent="0.25"/>
    <row r="6525" s="1" customFormat="1" ht="15.95" customHeight="1" x14ac:dyDescent="0.25"/>
    <row r="6526" s="1" customFormat="1" ht="15.95" customHeight="1" x14ac:dyDescent="0.25"/>
    <row r="6527" s="1" customFormat="1" ht="15.95" customHeight="1" x14ac:dyDescent="0.25"/>
    <row r="6528" s="1" customFormat="1" ht="15.95" customHeight="1" x14ac:dyDescent="0.25"/>
    <row r="6529" s="1" customFormat="1" ht="15.95" customHeight="1" x14ac:dyDescent="0.25"/>
    <row r="6530" s="1" customFormat="1" ht="15.95" customHeight="1" x14ac:dyDescent="0.25"/>
    <row r="6531" s="1" customFormat="1" ht="15.95" customHeight="1" x14ac:dyDescent="0.25"/>
    <row r="6532" s="1" customFormat="1" ht="15.95" customHeight="1" x14ac:dyDescent="0.25"/>
    <row r="6533" s="1" customFormat="1" ht="15.95" customHeight="1" x14ac:dyDescent="0.25"/>
    <row r="6534" s="1" customFormat="1" ht="15.95" customHeight="1" x14ac:dyDescent="0.25"/>
    <row r="6535" s="1" customFormat="1" ht="15.95" customHeight="1" x14ac:dyDescent="0.25"/>
    <row r="6536" s="1" customFormat="1" ht="15.95" customHeight="1" x14ac:dyDescent="0.25"/>
    <row r="6537" s="1" customFormat="1" ht="15.95" customHeight="1" x14ac:dyDescent="0.25"/>
    <row r="6538" s="1" customFormat="1" ht="15.95" customHeight="1" x14ac:dyDescent="0.25"/>
    <row r="6539" s="1" customFormat="1" ht="15.95" customHeight="1" x14ac:dyDescent="0.25"/>
    <row r="6540" s="1" customFormat="1" ht="15.95" customHeight="1" x14ac:dyDescent="0.25"/>
    <row r="6541" s="1" customFormat="1" ht="15.95" customHeight="1" x14ac:dyDescent="0.25"/>
    <row r="6542" s="1" customFormat="1" ht="15.95" customHeight="1" x14ac:dyDescent="0.25"/>
    <row r="6543" s="1" customFormat="1" ht="15.95" customHeight="1" x14ac:dyDescent="0.25"/>
    <row r="6544" s="1" customFormat="1" ht="15.95" customHeight="1" x14ac:dyDescent="0.25"/>
    <row r="6545" s="1" customFormat="1" ht="15.95" customHeight="1" x14ac:dyDescent="0.25"/>
    <row r="6546" s="1" customFormat="1" ht="15.95" customHeight="1" x14ac:dyDescent="0.25"/>
    <row r="6547" s="1" customFormat="1" ht="15.95" customHeight="1" x14ac:dyDescent="0.25"/>
    <row r="6548" s="1" customFormat="1" ht="15.95" customHeight="1" x14ac:dyDescent="0.25"/>
    <row r="6549" s="1" customFormat="1" ht="15.95" customHeight="1" x14ac:dyDescent="0.25"/>
    <row r="6550" s="1" customFormat="1" ht="15.95" customHeight="1" x14ac:dyDescent="0.25"/>
    <row r="6551" s="1" customFormat="1" ht="15.95" customHeight="1" x14ac:dyDescent="0.25"/>
    <row r="6552" s="1" customFormat="1" ht="15.95" customHeight="1" x14ac:dyDescent="0.25"/>
    <row r="6553" s="1" customFormat="1" ht="15.95" customHeight="1" x14ac:dyDescent="0.25"/>
    <row r="6554" s="1" customFormat="1" ht="15.95" customHeight="1" x14ac:dyDescent="0.25"/>
    <row r="6555" s="1" customFormat="1" ht="15.95" customHeight="1" x14ac:dyDescent="0.25"/>
    <row r="6556" s="1" customFormat="1" ht="15.95" customHeight="1" x14ac:dyDescent="0.25"/>
    <row r="6557" s="1" customFormat="1" ht="15.95" customHeight="1" x14ac:dyDescent="0.25"/>
    <row r="6558" s="1" customFormat="1" ht="15.95" customHeight="1" x14ac:dyDescent="0.25"/>
    <row r="6559" s="1" customFormat="1" ht="15.95" customHeight="1" x14ac:dyDescent="0.25"/>
    <row r="6560" s="1" customFormat="1" ht="15.95" customHeight="1" x14ac:dyDescent="0.25"/>
    <row r="6561" s="1" customFormat="1" ht="15.95" customHeight="1" x14ac:dyDescent="0.25"/>
    <row r="6562" s="1" customFormat="1" ht="15.95" customHeight="1" x14ac:dyDescent="0.25"/>
    <row r="6563" s="1" customFormat="1" ht="15.95" customHeight="1" x14ac:dyDescent="0.25"/>
    <row r="6564" s="1" customFormat="1" ht="15.95" customHeight="1" x14ac:dyDescent="0.25"/>
    <row r="6565" s="1" customFormat="1" ht="15.95" customHeight="1" x14ac:dyDescent="0.25"/>
    <row r="6566" s="1" customFormat="1" ht="15.95" customHeight="1" x14ac:dyDescent="0.25"/>
    <row r="6567" s="1" customFormat="1" ht="15.95" customHeight="1" x14ac:dyDescent="0.25"/>
    <row r="6568" s="1" customFormat="1" ht="15.95" customHeight="1" x14ac:dyDescent="0.25"/>
    <row r="6569" s="1" customFormat="1" ht="15.95" customHeight="1" x14ac:dyDescent="0.25"/>
    <row r="6570" s="1" customFormat="1" ht="15.95" customHeight="1" x14ac:dyDescent="0.25"/>
    <row r="6571" s="1" customFormat="1" ht="15.95" customHeight="1" x14ac:dyDescent="0.25"/>
    <row r="6572" s="1" customFormat="1" ht="15.95" customHeight="1" x14ac:dyDescent="0.25"/>
    <row r="6573" s="1" customFormat="1" ht="15.95" customHeight="1" x14ac:dyDescent="0.25"/>
    <row r="6574" s="1" customFormat="1" ht="15.95" customHeight="1" x14ac:dyDescent="0.25"/>
    <row r="6575" s="1" customFormat="1" ht="15.95" customHeight="1" x14ac:dyDescent="0.25"/>
    <row r="6576" s="1" customFormat="1" ht="15.95" customHeight="1" x14ac:dyDescent="0.25"/>
    <row r="6577" s="1" customFormat="1" ht="15.95" customHeight="1" x14ac:dyDescent="0.25"/>
    <row r="6578" s="1" customFormat="1" ht="15.95" customHeight="1" x14ac:dyDescent="0.25"/>
    <row r="6579" s="1" customFormat="1" ht="15.95" customHeight="1" x14ac:dyDescent="0.25"/>
    <row r="6580" s="1" customFormat="1" ht="15.95" customHeight="1" x14ac:dyDescent="0.25"/>
    <row r="6581" s="1" customFormat="1" ht="15.95" customHeight="1" x14ac:dyDescent="0.25"/>
    <row r="6582" s="1" customFormat="1" ht="15.95" customHeight="1" x14ac:dyDescent="0.25"/>
    <row r="6583" s="1" customFormat="1" ht="15.95" customHeight="1" x14ac:dyDescent="0.25"/>
    <row r="6584" s="1" customFormat="1" ht="15.95" customHeight="1" x14ac:dyDescent="0.25"/>
    <row r="6585" s="1" customFormat="1" ht="15.95" customHeight="1" x14ac:dyDescent="0.25"/>
    <row r="6586" s="1" customFormat="1" ht="15.95" customHeight="1" x14ac:dyDescent="0.25"/>
    <row r="6587" s="1" customFormat="1" ht="15.95" customHeight="1" x14ac:dyDescent="0.25"/>
    <row r="6588" s="1" customFormat="1" ht="15.95" customHeight="1" x14ac:dyDescent="0.25"/>
    <row r="6589" s="1" customFormat="1" ht="15.95" customHeight="1" x14ac:dyDescent="0.25"/>
    <row r="6590" s="1" customFormat="1" ht="15.95" customHeight="1" x14ac:dyDescent="0.25"/>
    <row r="6591" s="1" customFormat="1" ht="15.95" customHeight="1" x14ac:dyDescent="0.25"/>
    <row r="6592" s="1" customFormat="1" ht="15.95" customHeight="1" x14ac:dyDescent="0.25"/>
    <row r="6593" s="1" customFormat="1" ht="15.95" customHeight="1" x14ac:dyDescent="0.25"/>
    <row r="6594" s="1" customFormat="1" ht="15.95" customHeight="1" x14ac:dyDescent="0.25"/>
    <row r="6595" s="1" customFormat="1" ht="15.95" customHeight="1" x14ac:dyDescent="0.25"/>
    <row r="6596" s="1" customFormat="1" ht="15.95" customHeight="1" x14ac:dyDescent="0.25"/>
    <row r="6597" s="1" customFormat="1" ht="15.95" customHeight="1" x14ac:dyDescent="0.25"/>
    <row r="6598" s="1" customFormat="1" ht="15.95" customHeight="1" x14ac:dyDescent="0.25"/>
    <row r="6599" s="1" customFormat="1" ht="15.95" customHeight="1" x14ac:dyDescent="0.25"/>
    <row r="6600" s="1" customFormat="1" ht="15.95" customHeight="1" x14ac:dyDescent="0.25"/>
    <row r="6601" s="1" customFormat="1" ht="15.95" customHeight="1" x14ac:dyDescent="0.25"/>
    <row r="6602" s="1" customFormat="1" ht="15.95" customHeight="1" x14ac:dyDescent="0.25"/>
    <row r="6603" s="1" customFormat="1" ht="15.95" customHeight="1" x14ac:dyDescent="0.25"/>
    <row r="6604" s="1" customFormat="1" ht="15.95" customHeight="1" x14ac:dyDescent="0.25"/>
    <row r="6605" s="1" customFormat="1" ht="15.95" customHeight="1" x14ac:dyDescent="0.25"/>
    <row r="6606" s="1" customFormat="1" ht="15.95" customHeight="1" x14ac:dyDescent="0.25"/>
    <row r="6607" s="1" customFormat="1" ht="15.95" customHeight="1" x14ac:dyDescent="0.25"/>
    <row r="6608" s="1" customFormat="1" ht="15.95" customHeight="1" x14ac:dyDescent="0.25"/>
    <row r="6609" s="1" customFormat="1" ht="15.95" customHeight="1" x14ac:dyDescent="0.25"/>
    <row r="6610" s="1" customFormat="1" ht="15.95" customHeight="1" x14ac:dyDescent="0.25"/>
    <row r="6611" s="1" customFormat="1" ht="15.95" customHeight="1" x14ac:dyDescent="0.25"/>
    <row r="6612" s="1" customFormat="1" ht="15.95" customHeight="1" x14ac:dyDescent="0.25"/>
    <row r="6613" s="1" customFormat="1" ht="15.95" customHeight="1" x14ac:dyDescent="0.25"/>
    <row r="6614" s="1" customFormat="1" ht="15.95" customHeight="1" x14ac:dyDescent="0.25"/>
    <row r="6615" s="1" customFormat="1" ht="15.95" customHeight="1" x14ac:dyDescent="0.25"/>
    <row r="6616" s="1" customFormat="1" ht="15.95" customHeight="1" x14ac:dyDescent="0.25"/>
    <row r="6617" s="1" customFormat="1" ht="15.95" customHeight="1" x14ac:dyDescent="0.25"/>
    <row r="6618" s="1" customFormat="1" ht="15.95" customHeight="1" x14ac:dyDescent="0.25"/>
    <row r="6619" s="1" customFormat="1" ht="15.95" customHeight="1" x14ac:dyDescent="0.25"/>
    <row r="6620" s="1" customFormat="1" ht="15.95" customHeight="1" x14ac:dyDescent="0.25"/>
    <row r="6621" s="1" customFormat="1" ht="15.95" customHeight="1" x14ac:dyDescent="0.25"/>
    <row r="6622" s="1" customFormat="1" ht="15.95" customHeight="1" x14ac:dyDescent="0.25"/>
    <row r="6623" s="1" customFormat="1" ht="15.95" customHeight="1" x14ac:dyDescent="0.25"/>
    <row r="6624" s="1" customFormat="1" ht="15.95" customHeight="1" x14ac:dyDescent="0.25"/>
    <row r="6625" s="1" customFormat="1" ht="15.95" customHeight="1" x14ac:dyDescent="0.25"/>
    <row r="6626" s="1" customFormat="1" ht="15.95" customHeight="1" x14ac:dyDescent="0.25"/>
    <row r="6627" s="1" customFormat="1" ht="15.95" customHeight="1" x14ac:dyDescent="0.25"/>
    <row r="6628" s="1" customFormat="1" ht="15.95" customHeight="1" x14ac:dyDescent="0.25"/>
    <row r="6629" s="1" customFormat="1" ht="15.95" customHeight="1" x14ac:dyDescent="0.25"/>
    <row r="6630" s="1" customFormat="1" ht="15.95" customHeight="1" x14ac:dyDescent="0.25"/>
    <row r="6631" s="1" customFormat="1" ht="15.95" customHeight="1" x14ac:dyDescent="0.25"/>
    <row r="6632" s="1" customFormat="1" ht="15.95" customHeight="1" x14ac:dyDescent="0.25"/>
    <row r="6633" s="1" customFormat="1" ht="15.95" customHeight="1" x14ac:dyDescent="0.25"/>
    <row r="6634" s="1" customFormat="1" ht="15.95" customHeight="1" x14ac:dyDescent="0.25"/>
    <row r="6635" s="1" customFormat="1" ht="15.95" customHeight="1" x14ac:dyDescent="0.25"/>
    <row r="6636" s="1" customFormat="1" ht="15.95" customHeight="1" x14ac:dyDescent="0.25"/>
    <row r="6637" s="1" customFormat="1" ht="15.95" customHeight="1" x14ac:dyDescent="0.25"/>
    <row r="6638" s="1" customFormat="1" ht="15.95" customHeight="1" x14ac:dyDescent="0.25"/>
    <row r="6639" s="1" customFormat="1" ht="15.95" customHeight="1" x14ac:dyDescent="0.25"/>
    <row r="6640" s="1" customFormat="1" ht="15.95" customHeight="1" x14ac:dyDescent="0.25"/>
    <row r="6641" s="1" customFormat="1" ht="15.95" customHeight="1" x14ac:dyDescent="0.25"/>
    <row r="6642" s="1" customFormat="1" ht="15.95" customHeight="1" x14ac:dyDescent="0.25"/>
    <row r="6643" s="1" customFormat="1" ht="15.95" customHeight="1" x14ac:dyDescent="0.25"/>
    <row r="6644" s="1" customFormat="1" ht="15.95" customHeight="1" x14ac:dyDescent="0.25"/>
    <row r="6645" s="1" customFormat="1" ht="15.95" customHeight="1" x14ac:dyDescent="0.25"/>
    <row r="6646" s="1" customFormat="1" ht="15.95" customHeight="1" x14ac:dyDescent="0.25"/>
    <row r="6647" s="1" customFormat="1" ht="15.95" customHeight="1" x14ac:dyDescent="0.25"/>
    <row r="6648" s="1" customFormat="1" ht="15.95" customHeight="1" x14ac:dyDescent="0.25"/>
    <row r="6649" s="1" customFormat="1" ht="15.95" customHeight="1" x14ac:dyDescent="0.25"/>
    <row r="6650" s="1" customFormat="1" ht="15.95" customHeight="1" x14ac:dyDescent="0.25"/>
    <row r="6651" s="1" customFormat="1" ht="15.95" customHeight="1" x14ac:dyDescent="0.25"/>
    <row r="6652" s="1" customFormat="1" ht="15.95" customHeight="1" x14ac:dyDescent="0.25"/>
    <row r="6653" s="1" customFormat="1" ht="15.95" customHeight="1" x14ac:dyDescent="0.25"/>
    <row r="6654" s="1" customFormat="1" ht="15.95" customHeight="1" x14ac:dyDescent="0.25"/>
    <row r="6655" s="1" customFormat="1" ht="15.95" customHeight="1" x14ac:dyDescent="0.25"/>
    <row r="6656" s="1" customFormat="1" ht="15.95" customHeight="1" x14ac:dyDescent="0.25"/>
    <row r="6657" s="1" customFormat="1" ht="15.95" customHeight="1" x14ac:dyDescent="0.25"/>
    <row r="6658" s="1" customFormat="1" ht="15.95" customHeight="1" x14ac:dyDescent="0.25"/>
    <row r="6659" s="1" customFormat="1" ht="15.95" customHeight="1" x14ac:dyDescent="0.25"/>
    <row r="6660" s="1" customFormat="1" ht="15.95" customHeight="1" x14ac:dyDescent="0.25"/>
    <row r="6661" s="1" customFormat="1" ht="15.95" customHeight="1" x14ac:dyDescent="0.25"/>
    <row r="6662" s="1" customFormat="1" ht="15.95" customHeight="1" x14ac:dyDescent="0.25"/>
    <row r="6663" s="1" customFormat="1" ht="15.95" customHeight="1" x14ac:dyDescent="0.25"/>
    <row r="6664" s="1" customFormat="1" ht="15.95" customHeight="1" x14ac:dyDescent="0.25"/>
    <row r="6665" s="1" customFormat="1" ht="15.95" customHeight="1" x14ac:dyDescent="0.25"/>
    <row r="6666" s="1" customFormat="1" ht="15.95" customHeight="1" x14ac:dyDescent="0.25"/>
    <row r="6667" s="1" customFormat="1" ht="15.95" customHeight="1" x14ac:dyDescent="0.25"/>
    <row r="6668" s="1" customFormat="1" ht="15.95" customHeight="1" x14ac:dyDescent="0.25"/>
    <row r="6669" s="1" customFormat="1" ht="15.95" customHeight="1" x14ac:dyDescent="0.25"/>
    <row r="6670" s="1" customFormat="1" ht="15.95" customHeight="1" x14ac:dyDescent="0.25"/>
    <row r="6671" s="1" customFormat="1" ht="15.95" customHeight="1" x14ac:dyDescent="0.25"/>
    <row r="6672" s="1" customFormat="1" ht="15.95" customHeight="1" x14ac:dyDescent="0.25"/>
    <row r="6673" s="1" customFormat="1" ht="15.95" customHeight="1" x14ac:dyDescent="0.25"/>
    <row r="6674" s="1" customFormat="1" ht="15.95" customHeight="1" x14ac:dyDescent="0.25"/>
    <row r="6675" s="1" customFormat="1" ht="15.95" customHeight="1" x14ac:dyDescent="0.25"/>
    <row r="6676" s="1" customFormat="1" ht="15.95" customHeight="1" x14ac:dyDescent="0.25"/>
    <row r="6677" s="1" customFormat="1" ht="15.95" customHeight="1" x14ac:dyDescent="0.25"/>
    <row r="6678" s="1" customFormat="1" ht="15.95" customHeight="1" x14ac:dyDescent="0.25"/>
    <row r="6679" s="1" customFormat="1" ht="15.95" customHeight="1" x14ac:dyDescent="0.25"/>
    <row r="6680" s="1" customFormat="1" ht="15.95" customHeight="1" x14ac:dyDescent="0.25"/>
    <row r="6681" s="1" customFormat="1" ht="15.95" customHeight="1" x14ac:dyDescent="0.25"/>
    <row r="6682" s="1" customFormat="1" ht="15.95" customHeight="1" x14ac:dyDescent="0.25"/>
    <row r="6683" s="1" customFormat="1" ht="15.95" customHeight="1" x14ac:dyDescent="0.25"/>
    <row r="6684" s="1" customFormat="1" ht="15.95" customHeight="1" x14ac:dyDescent="0.25"/>
    <row r="6685" s="1" customFormat="1" ht="15.95" customHeight="1" x14ac:dyDescent="0.25"/>
    <row r="6686" s="1" customFormat="1" ht="15.95" customHeight="1" x14ac:dyDescent="0.25"/>
    <row r="6687" s="1" customFormat="1" ht="15.95" customHeight="1" x14ac:dyDescent="0.25"/>
    <row r="6688" s="1" customFormat="1" ht="15.95" customHeight="1" x14ac:dyDescent="0.25"/>
    <row r="6689" s="1" customFormat="1" ht="15.95" customHeight="1" x14ac:dyDescent="0.25"/>
    <row r="6690" s="1" customFormat="1" ht="15.95" customHeight="1" x14ac:dyDescent="0.25"/>
    <row r="6691" s="1" customFormat="1" ht="15.95" customHeight="1" x14ac:dyDescent="0.25"/>
    <row r="6692" s="1" customFormat="1" ht="15.95" customHeight="1" x14ac:dyDescent="0.25"/>
    <row r="6693" s="1" customFormat="1" ht="15.95" customHeight="1" x14ac:dyDescent="0.25"/>
    <row r="6694" s="1" customFormat="1" ht="15.95" customHeight="1" x14ac:dyDescent="0.25"/>
    <row r="6695" s="1" customFormat="1" ht="15.95" customHeight="1" x14ac:dyDescent="0.25"/>
    <row r="6696" s="1" customFormat="1" ht="15.95" customHeight="1" x14ac:dyDescent="0.25"/>
    <row r="6697" s="1" customFormat="1" ht="15.95" customHeight="1" x14ac:dyDescent="0.25"/>
    <row r="6698" s="1" customFormat="1" ht="15.95" customHeight="1" x14ac:dyDescent="0.25"/>
    <row r="6699" s="1" customFormat="1" ht="15.95" customHeight="1" x14ac:dyDescent="0.25"/>
    <row r="6700" s="1" customFormat="1" ht="15.95" customHeight="1" x14ac:dyDescent="0.25"/>
    <row r="6701" s="1" customFormat="1" ht="15.95" customHeight="1" x14ac:dyDescent="0.25"/>
    <row r="6702" s="1" customFormat="1" ht="15.95" customHeight="1" x14ac:dyDescent="0.25"/>
    <row r="6703" s="1" customFormat="1" ht="15.95" customHeight="1" x14ac:dyDescent="0.25"/>
    <row r="6704" s="1" customFormat="1" ht="15.95" customHeight="1" x14ac:dyDescent="0.25"/>
    <row r="6705" s="1" customFormat="1" ht="15.95" customHeight="1" x14ac:dyDescent="0.25"/>
    <row r="6706" s="1" customFormat="1" ht="15.95" customHeight="1" x14ac:dyDescent="0.25"/>
    <row r="6707" s="1" customFormat="1" ht="15.95" customHeight="1" x14ac:dyDescent="0.25"/>
    <row r="6708" s="1" customFormat="1" ht="15.95" customHeight="1" x14ac:dyDescent="0.25"/>
    <row r="6709" s="1" customFormat="1" ht="15.95" customHeight="1" x14ac:dyDescent="0.25"/>
    <row r="6710" s="1" customFormat="1" ht="15.95" customHeight="1" x14ac:dyDescent="0.25"/>
    <row r="6711" s="1" customFormat="1" ht="15.95" customHeight="1" x14ac:dyDescent="0.25"/>
    <row r="6712" s="1" customFormat="1" ht="15.95" customHeight="1" x14ac:dyDescent="0.25"/>
    <row r="6713" s="1" customFormat="1" ht="15.95" customHeight="1" x14ac:dyDescent="0.25"/>
    <row r="6714" s="1" customFormat="1" ht="15.95" customHeight="1" x14ac:dyDescent="0.25"/>
    <row r="6715" s="1" customFormat="1" ht="15.95" customHeight="1" x14ac:dyDescent="0.25"/>
    <row r="6716" s="1" customFormat="1" ht="15.95" customHeight="1" x14ac:dyDescent="0.25"/>
    <row r="6717" s="1" customFormat="1" ht="15.95" customHeight="1" x14ac:dyDescent="0.25"/>
    <row r="6718" s="1" customFormat="1" ht="15.95" customHeight="1" x14ac:dyDescent="0.25"/>
    <row r="6719" s="1" customFormat="1" ht="15.95" customHeight="1" x14ac:dyDescent="0.25"/>
    <row r="6720" s="1" customFormat="1" ht="15.95" customHeight="1" x14ac:dyDescent="0.25"/>
    <row r="6721" s="1" customFormat="1" ht="15.95" customHeight="1" x14ac:dyDescent="0.25"/>
    <row r="6722" s="1" customFormat="1" ht="15.95" customHeight="1" x14ac:dyDescent="0.25"/>
    <row r="6723" s="1" customFormat="1" ht="15.95" customHeight="1" x14ac:dyDescent="0.25"/>
    <row r="6724" s="1" customFormat="1" ht="15.95" customHeight="1" x14ac:dyDescent="0.25"/>
    <row r="6725" s="1" customFormat="1" ht="15.95" customHeight="1" x14ac:dyDescent="0.25"/>
    <row r="6726" s="1" customFormat="1" ht="15.95" customHeight="1" x14ac:dyDescent="0.25"/>
    <row r="6727" s="1" customFormat="1" ht="15.95" customHeight="1" x14ac:dyDescent="0.25"/>
    <row r="6728" s="1" customFormat="1" ht="15.95" customHeight="1" x14ac:dyDescent="0.25"/>
    <row r="6729" s="1" customFormat="1" ht="15.95" customHeight="1" x14ac:dyDescent="0.25"/>
    <row r="6730" s="1" customFormat="1" ht="15.95" customHeight="1" x14ac:dyDescent="0.25"/>
    <row r="6731" s="1" customFormat="1" ht="15.95" customHeight="1" x14ac:dyDescent="0.25"/>
    <row r="6732" s="1" customFormat="1" ht="15.95" customHeight="1" x14ac:dyDescent="0.25"/>
    <row r="6733" s="1" customFormat="1" ht="15.95" customHeight="1" x14ac:dyDescent="0.25"/>
    <row r="6734" s="1" customFormat="1" ht="15.95" customHeight="1" x14ac:dyDescent="0.25"/>
    <row r="6735" s="1" customFormat="1" ht="15.95" customHeight="1" x14ac:dyDescent="0.25"/>
    <row r="6736" s="1" customFormat="1" ht="15.95" customHeight="1" x14ac:dyDescent="0.25"/>
    <row r="6737" s="1" customFormat="1" ht="15.95" customHeight="1" x14ac:dyDescent="0.25"/>
    <row r="6738" s="1" customFormat="1" ht="15.95" customHeight="1" x14ac:dyDescent="0.25"/>
    <row r="6739" s="1" customFormat="1" ht="15.95" customHeight="1" x14ac:dyDescent="0.25"/>
    <row r="6740" s="1" customFormat="1" ht="15.95" customHeight="1" x14ac:dyDescent="0.25"/>
    <row r="6741" s="1" customFormat="1" ht="15.95" customHeight="1" x14ac:dyDescent="0.25"/>
    <row r="6742" s="1" customFormat="1" ht="15.95" customHeight="1" x14ac:dyDescent="0.25"/>
    <row r="6743" s="1" customFormat="1" ht="15.95" customHeight="1" x14ac:dyDescent="0.25"/>
    <row r="6744" s="1" customFormat="1" ht="15.95" customHeight="1" x14ac:dyDescent="0.25"/>
    <row r="6745" s="1" customFormat="1" ht="15.95" customHeight="1" x14ac:dyDescent="0.25"/>
    <row r="6746" s="1" customFormat="1" ht="15.95" customHeight="1" x14ac:dyDescent="0.25"/>
    <row r="6747" s="1" customFormat="1" ht="15.95" customHeight="1" x14ac:dyDescent="0.25"/>
    <row r="6748" s="1" customFormat="1" ht="15.95" customHeight="1" x14ac:dyDescent="0.25"/>
    <row r="6749" s="1" customFormat="1" ht="15.95" customHeight="1" x14ac:dyDescent="0.25"/>
    <row r="6750" s="1" customFormat="1" ht="15.95" customHeight="1" x14ac:dyDescent="0.25"/>
    <row r="6751" s="1" customFormat="1" ht="15.95" customHeight="1" x14ac:dyDescent="0.25"/>
    <row r="6752" s="1" customFormat="1" ht="15.95" customHeight="1" x14ac:dyDescent="0.25"/>
    <row r="6753" s="1" customFormat="1" ht="15.95" customHeight="1" x14ac:dyDescent="0.25"/>
    <row r="6754" s="1" customFormat="1" ht="15.95" customHeight="1" x14ac:dyDescent="0.25"/>
    <row r="6755" s="1" customFormat="1" ht="15.95" customHeight="1" x14ac:dyDescent="0.25"/>
    <row r="6756" s="1" customFormat="1" ht="15.95" customHeight="1" x14ac:dyDescent="0.25"/>
    <row r="6757" s="1" customFormat="1" ht="15.95" customHeight="1" x14ac:dyDescent="0.25"/>
    <row r="6758" s="1" customFormat="1" ht="15.95" customHeight="1" x14ac:dyDescent="0.25"/>
    <row r="6759" s="1" customFormat="1" ht="15.95" customHeight="1" x14ac:dyDescent="0.25"/>
    <row r="6760" s="1" customFormat="1" ht="15.95" customHeight="1" x14ac:dyDescent="0.25"/>
    <row r="6761" s="1" customFormat="1" ht="15.95" customHeight="1" x14ac:dyDescent="0.25"/>
    <row r="6762" s="1" customFormat="1" ht="15.95" customHeight="1" x14ac:dyDescent="0.25"/>
    <row r="6763" s="1" customFormat="1" ht="15.95" customHeight="1" x14ac:dyDescent="0.25"/>
    <row r="6764" s="1" customFormat="1" ht="15.95" customHeight="1" x14ac:dyDescent="0.25"/>
    <row r="6765" s="1" customFormat="1" ht="15.95" customHeight="1" x14ac:dyDescent="0.25"/>
    <row r="6766" s="1" customFormat="1" ht="15.95" customHeight="1" x14ac:dyDescent="0.25"/>
    <row r="6767" s="1" customFormat="1" ht="15.95" customHeight="1" x14ac:dyDescent="0.25"/>
    <row r="6768" s="1" customFormat="1" ht="15.95" customHeight="1" x14ac:dyDescent="0.25"/>
    <row r="6769" s="1" customFormat="1" ht="15.95" customHeight="1" x14ac:dyDescent="0.25"/>
    <row r="6770" s="1" customFormat="1" ht="15.95" customHeight="1" x14ac:dyDescent="0.25"/>
    <row r="6771" s="1" customFormat="1" ht="15.95" customHeight="1" x14ac:dyDescent="0.25"/>
    <row r="6772" s="1" customFormat="1" ht="15.95" customHeight="1" x14ac:dyDescent="0.25"/>
    <row r="6773" s="1" customFormat="1" ht="15.95" customHeight="1" x14ac:dyDescent="0.25"/>
    <row r="6774" s="1" customFormat="1" ht="15.95" customHeight="1" x14ac:dyDescent="0.25"/>
    <row r="6775" s="1" customFormat="1" ht="15.95" customHeight="1" x14ac:dyDescent="0.25"/>
    <row r="6776" s="1" customFormat="1" ht="15.95" customHeight="1" x14ac:dyDescent="0.25"/>
    <row r="6777" s="1" customFormat="1" ht="15.95" customHeight="1" x14ac:dyDescent="0.25"/>
    <row r="6778" s="1" customFormat="1" ht="15.95" customHeight="1" x14ac:dyDescent="0.25"/>
    <row r="6779" s="1" customFormat="1" ht="15.95" customHeight="1" x14ac:dyDescent="0.25"/>
    <row r="6780" s="1" customFormat="1" ht="15.95" customHeight="1" x14ac:dyDescent="0.25"/>
    <row r="6781" s="1" customFormat="1" ht="15.95" customHeight="1" x14ac:dyDescent="0.25"/>
    <row r="6782" s="1" customFormat="1" ht="15.95" customHeight="1" x14ac:dyDescent="0.25"/>
    <row r="6783" s="1" customFormat="1" ht="15.95" customHeight="1" x14ac:dyDescent="0.25"/>
    <row r="6784" s="1" customFormat="1" ht="15.95" customHeight="1" x14ac:dyDescent="0.25"/>
    <row r="6785" s="1" customFormat="1" ht="15.95" customHeight="1" x14ac:dyDescent="0.25"/>
    <row r="6786" s="1" customFormat="1" ht="15.95" customHeight="1" x14ac:dyDescent="0.25"/>
    <row r="6787" s="1" customFormat="1" ht="15.95" customHeight="1" x14ac:dyDescent="0.25"/>
    <row r="6788" s="1" customFormat="1" ht="15.95" customHeight="1" x14ac:dyDescent="0.25"/>
    <row r="6789" s="1" customFormat="1" ht="15.95" customHeight="1" x14ac:dyDescent="0.25"/>
    <row r="6790" s="1" customFormat="1" ht="15.95" customHeight="1" x14ac:dyDescent="0.25"/>
    <row r="6791" s="1" customFormat="1" ht="15.95" customHeight="1" x14ac:dyDescent="0.25"/>
    <row r="6792" s="1" customFormat="1" ht="15.95" customHeight="1" x14ac:dyDescent="0.25"/>
    <row r="6793" s="1" customFormat="1" ht="15.95" customHeight="1" x14ac:dyDescent="0.25"/>
    <row r="6794" s="1" customFormat="1" ht="15.95" customHeight="1" x14ac:dyDescent="0.25"/>
    <row r="6795" s="1" customFormat="1" ht="15.95" customHeight="1" x14ac:dyDescent="0.25"/>
    <row r="6796" s="1" customFormat="1" ht="15.95" customHeight="1" x14ac:dyDescent="0.25"/>
    <row r="6797" s="1" customFormat="1" ht="15.95" customHeight="1" x14ac:dyDescent="0.25"/>
    <row r="6798" s="1" customFormat="1" ht="15.95" customHeight="1" x14ac:dyDescent="0.25"/>
    <row r="6799" s="1" customFormat="1" ht="15.95" customHeight="1" x14ac:dyDescent="0.25"/>
    <row r="6800" s="1" customFormat="1" ht="15.95" customHeight="1" x14ac:dyDescent="0.25"/>
    <row r="6801" s="1" customFormat="1" ht="15.95" customHeight="1" x14ac:dyDescent="0.25"/>
    <row r="6802" s="1" customFormat="1" ht="15.95" customHeight="1" x14ac:dyDescent="0.25"/>
    <row r="6803" s="1" customFormat="1" ht="15.95" customHeight="1" x14ac:dyDescent="0.25"/>
    <row r="6804" s="1" customFormat="1" ht="15.95" customHeight="1" x14ac:dyDescent="0.25"/>
    <row r="6805" s="1" customFormat="1" ht="15.95" customHeight="1" x14ac:dyDescent="0.25"/>
    <row r="6806" s="1" customFormat="1" ht="15.95" customHeight="1" x14ac:dyDescent="0.25"/>
    <row r="6807" s="1" customFormat="1" ht="15.95" customHeight="1" x14ac:dyDescent="0.25"/>
    <row r="6808" s="1" customFormat="1" ht="15.95" customHeight="1" x14ac:dyDescent="0.25"/>
    <row r="6809" s="1" customFormat="1" ht="15.95" customHeight="1" x14ac:dyDescent="0.25"/>
    <row r="6810" s="1" customFormat="1" ht="15.95" customHeight="1" x14ac:dyDescent="0.25"/>
    <row r="6811" s="1" customFormat="1" ht="15.95" customHeight="1" x14ac:dyDescent="0.25"/>
    <row r="6812" s="1" customFormat="1" ht="15.95" customHeight="1" x14ac:dyDescent="0.25"/>
    <row r="6813" s="1" customFormat="1" ht="15.95" customHeight="1" x14ac:dyDescent="0.25"/>
    <row r="6814" s="1" customFormat="1" ht="15.95" customHeight="1" x14ac:dyDescent="0.25"/>
    <row r="6815" s="1" customFormat="1" ht="15.95" customHeight="1" x14ac:dyDescent="0.25"/>
    <row r="6816" s="1" customFormat="1" ht="15.95" customHeight="1" x14ac:dyDescent="0.25"/>
    <row r="6817" s="1" customFormat="1" ht="15.95" customHeight="1" x14ac:dyDescent="0.25"/>
    <row r="6818" s="1" customFormat="1" ht="15.95" customHeight="1" x14ac:dyDescent="0.25"/>
    <row r="6819" s="1" customFormat="1" ht="15.95" customHeight="1" x14ac:dyDescent="0.25"/>
    <row r="6820" s="1" customFormat="1" ht="15.95" customHeight="1" x14ac:dyDescent="0.25"/>
    <row r="6821" s="1" customFormat="1" ht="15.95" customHeight="1" x14ac:dyDescent="0.25"/>
    <row r="6822" s="1" customFormat="1" ht="15.95" customHeight="1" x14ac:dyDescent="0.25"/>
    <row r="6823" s="1" customFormat="1" ht="15.95" customHeight="1" x14ac:dyDescent="0.25"/>
    <row r="6824" s="1" customFormat="1" ht="15.95" customHeight="1" x14ac:dyDescent="0.25"/>
    <row r="6825" s="1" customFormat="1" ht="15.95" customHeight="1" x14ac:dyDescent="0.25"/>
    <row r="6826" s="1" customFormat="1" ht="15.95" customHeight="1" x14ac:dyDescent="0.25"/>
    <row r="6827" s="1" customFormat="1" ht="15.95" customHeight="1" x14ac:dyDescent="0.25"/>
    <row r="6828" s="1" customFormat="1" ht="15.95" customHeight="1" x14ac:dyDescent="0.25"/>
    <row r="6829" s="1" customFormat="1" ht="15.95" customHeight="1" x14ac:dyDescent="0.25"/>
    <row r="6830" s="1" customFormat="1" ht="15.95" customHeight="1" x14ac:dyDescent="0.25"/>
    <row r="6831" s="1" customFormat="1" ht="15.95" customHeight="1" x14ac:dyDescent="0.25"/>
    <row r="6832" s="1" customFormat="1" ht="15.95" customHeight="1" x14ac:dyDescent="0.25"/>
    <row r="6833" s="1" customFormat="1" ht="15.95" customHeight="1" x14ac:dyDescent="0.25"/>
    <row r="6834" s="1" customFormat="1" ht="15.95" customHeight="1" x14ac:dyDescent="0.25"/>
    <row r="6835" s="1" customFormat="1" ht="15.95" customHeight="1" x14ac:dyDescent="0.25"/>
    <row r="6836" s="1" customFormat="1" ht="15.95" customHeight="1" x14ac:dyDescent="0.25"/>
    <row r="6837" s="1" customFormat="1" ht="15.95" customHeight="1" x14ac:dyDescent="0.25"/>
    <row r="6838" s="1" customFormat="1" ht="15.95" customHeight="1" x14ac:dyDescent="0.25"/>
    <row r="6839" s="1" customFormat="1" ht="15.95" customHeight="1" x14ac:dyDescent="0.25"/>
    <row r="6840" s="1" customFormat="1" ht="15.95" customHeight="1" x14ac:dyDescent="0.25"/>
    <row r="6841" s="1" customFormat="1" ht="15.95" customHeight="1" x14ac:dyDescent="0.25"/>
    <row r="6842" s="1" customFormat="1" ht="15.95" customHeight="1" x14ac:dyDescent="0.25"/>
    <row r="6843" s="1" customFormat="1" ht="15.95" customHeight="1" x14ac:dyDescent="0.25"/>
    <row r="6844" s="1" customFormat="1" ht="15.95" customHeight="1" x14ac:dyDescent="0.25"/>
    <row r="6845" s="1" customFormat="1" ht="15.95" customHeight="1" x14ac:dyDescent="0.25"/>
    <row r="6846" s="1" customFormat="1" ht="15.95" customHeight="1" x14ac:dyDescent="0.25"/>
    <row r="6847" s="1" customFormat="1" ht="15.95" customHeight="1" x14ac:dyDescent="0.25"/>
    <row r="6848" s="1" customFormat="1" ht="15.95" customHeight="1" x14ac:dyDescent="0.25"/>
    <row r="6849" s="1" customFormat="1" ht="15.95" customHeight="1" x14ac:dyDescent="0.25"/>
    <row r="6850" s="1" customFormat="1" ht="15.95" customHeight="1" x14ac:dyDescent="0.25"/>
    <row r="6851" s="1" customFormat="1" ht="15.95" customHeight="1" x14ac:dyDescent="0.25"/>
    <row r="6852" s="1" customFormat="1" ht="15.95" customHeight="1" x14ac:dyDescent="0.25"/>
    <row r="6853" s="1" customFormat="1" ht="15.95" customHeight="1" x14ac:dyDescent="0.25"/>
    <row r="6854" s="1" customFormat="1" ht="15.95" customHeight="1" x14ac:dyDescent="0.25"/>
    <row r="6855" s="1" customFormat="1" ht="15.95" customHeight="1" x14ac:dyDescent="0.25"/>
    <row r="6856" s="1" customFormat="1" ht="15.95" customHeight="1" x14ac:dyDescent="0.25"/>
    <row r="6857" s="1" customFormat="1" ht="15.95" customHeight="1" x14ac:dyDescent="0.25"/>
    <row r="6858" s="1" customFormat="1" ht="15.95" customHeight="1" x14ac:dyDescent="0.25"/>
    <row r="6859" s="1" customFormat="1" ht="15.95" customHeight="1" x14ac:dyDescent="0.25"/>
    <row r="6860" s="1" customFormat="1" ht="15.95" customHeight="1" x14ac:dyDescent="0.25"/>
    <row r="6861" s="1" customFormat="1" ht="15.95" customHeight="1" x14ac:dyDescent="0.25"/>
    <row r="6862" s="1" customFormat="1" ht="15.95" customHeight="1" x14ac:dyDescent="0.25"/>
    <row r="6863" s="1" customFormat="1" ht="15.95" customHeight="1" x14ac:dyDescent="0.25"/>
    <row r="6864" s="1" customFormat="1" ht="15.95" customHeight="1" x14ac:dyDescent="0.25"/>
    <row r="6865" s="1" customFormat="1" ht="15.95" customHeight="1" x14ac:dyDescent="0.25"/>
    <row r="6866" s="1" customFormat="1" ht="15.95" customHeight="1" x14ac:dyDescent="0.25"/>
    <row r="6867" s="1" customFormat="1" ht="15.95" customHeight="1" x14ac:dyDescent="0.25"/>
    <row r="6868" s="1" customFormat="1" ht="15.95" customHeight="1" x14ac:dyDescent="0.25"/>
    <row r="6869" s="1" customFormat="1" ht="15.95" customHeight="1" x14ac:dyDescent="0.25"/>
    <row r="6870" s="1" customFormat="1" ht="15.95" customHeight="1" x14ac:dyDescent="0.25"/>
    <row r="6871" s="1" customFormat="1" ht="15.95" customHeight="1" x14ac:dyDescent="0.25"/>
    <row r="6872" s="1" customFormat="1" ht="15.95" customHeight="1" x14ac:dyDescent="0.25"/>
    <row r="6873" s="1" customFormat="1" ht="15.95" customHeight="1" x14ac:dyDescent="0.25"/>
    <row r="6874" s="1" customFormat="1" ht="15.95" customHeight="1" x14ac:dyDescent="0.25"/>
    <row r="6875" s="1" customFormat="1" ht="15.95" customHeight="1" x14ac:dyDescent="0.25"/>
    <row r="6876" s="1" customFormat="1" ht="15.95" customHeight="1" x14ac:dyDescent="0.25"/>
    <row r="6877" s="1" customFormat="1" ht="15.95" customHeight="1" x14ac:dyDescent="0.25"/>
    <row r="6878" s="1" customFormat="1" ht="15.95" customHeight="1" x14ac:dyDescent="0.25"/>
    <row r="6879" s="1" customFormat="1" ht="15.95" customHeight="1" x14ac:dyDescent="0.25"/>
    <row r="6880" s="1" customFormat="1" ht="15.95" customHeight="1" x14ac:dyDescent="0.25"/>
    <row r="6881" s="1" customFormat="1" ht="15.95" customHeight="1" x14ac:dyDescent="0.25"/>
    <row r="6882" s="1" customFormat="1" ht="15.95" customHeight="1" x14ac:dyDescent="0.25"/>
    <row r="6883" s="1" customFormat="1" ht="15.95" customHeight="1" x14ac:dyDescent="0.25"/>
    <row r="6884" s="1" customFormat="1" ht="15.95" customHeight="1" x14ac:dyDescent="0.25"/>
    <row r="6885" s="1" customFormat="1" ht="15.95" customHeight="1" x14ac:dyDescent="0.25"/>
    <row r="6886" s="1" customFormat="1" ht="15.95" customHeight="1" x14ac:dyDescent="0.25"/>
    <row r="6887" s="1" customFormat="1" ht="15.95" customHeight="1" x14ac:dyDescent="0.25"/>
    <row r="6888" s="1" customFormat="1" ht="15.95" customHeight="1" x14ac:dyDescent="0.25"/>
    <row r="6889" s="1" customFormat="1" ht="15.95" customHeight="1" x14ac:dyDescent="0.25"/>
    <row r="6890" s="1" customFormat="1" ht="15.95" customHeight="1" x14ac:dyDescent="0.25"/>
    <row r="6891" s="1" customFormat="1" ht="15.95" customHeight="1" x14ac:dyDescent="0.25"/>
    <row r="6892" s="1" customFormat="1" ht="15.95" customHeight="1" x14ac:dyDescent="0.25"/>
    <row r="6893" s="1" customFormat="1" ht="15.95" customHeight="1" x14ac:dyDescent="0.25"/>
    <row r="6894" s="1" customFormat="1" ht="15.95" customHeight="1" x14ac:dyDescent="0.25"/>
    <row r="6895" s="1" customFormat="1" ht="15.95" customHeight="1" x14ac:dyDescent="0.25"/>
    <row r="6896" s="1" customFormat="1" ht="15.95" customHeight="1" x14ac:dyDescent="0.25"/>
    <row r="6897" s="1" customFormat="1" ht="15.95" customHeight="1" x14ac:dyDescent="0.25"/>
    <row r="6898" s="1" customFormat="1" ht="15.95" customHeight="1" x14ac:dyDescent="0.25"/>
    <row r="6899" s="1" customFormat="1" ht="15.95" customHeight="1" x14ac:dyDescent="0.25"/>
    <row r="6900" s="1" customFormat="1" ht="15.95" customHeight="1" x14ac:dyDescent="0.25"/>
    <row r="6901" s="1" customFormat="1" ht="15.95" customHeight="1" x14ac:dyDescent="0.25"/>
    <row r="6902" s="1" customFormat="1" ht="15.95" customHeight="1" x14ac:dyDescent="0.25"/>
    <row r="6903" s="1" customFormat="1" ht="15.95" customHeight="1" x14ac:dyDescent="0.25"/>
    <row r="6904" s="1" customFormat="1" ht="15.95" customHeight="1" x14ac:dyDescent="0.25"/>
    <row r="6905" s="1" customFormat="1" ht="15.95" customHeight="1" x14ac:dyDescent="0.25"/>
    <row r="6906" s="1" customFormat="1" ht="15.95" customHeight="1" x14ac:dyDescent="0.25"/>
    <row r="6907" s="1" customFormat="1" ht="15.95" customHeight="1" x14ac:dyDescent="0.25"/>
    <row r="6908" s="1" customFormat="1" ht="15.95" customHeight="1" x14ac:dyDescent="0.25"/>
    <row r="6909" s="1" customFormat="1" ht="15.95" customHeight="1" x14ac:dyDescent="0.25"/>
    <row r="6910" s="1" customFormat="1" ht="15.95" customHeight="1" x14ac:dyDescent="0.25"/>
    <row r="6911" s="1" customFormat="1" ht="15.95" customHeight="1" x14ac:dyDescent="0.25"/>
    <row r="6912" s="1" customFormat="1" ht="15.95" customHeight="1" x14ac:dyDescent="0.25"/>
    <row r="6913" s="1" customFormat="1" ht="15.95" customHeight="1" x14ac:dyDescent="0.25"/>
    <row r="6914" s="1" customFormat="1" ht="15.95" customHeight="1" x14ac:dyDescent="0.25"/>
    <row r="6915" s="1" customFormat="1" ht="15.95" customHeight="1" x14ac:dyDescent="0.25"/>
    <row r="6916" s="1" customFormat="1" ht="15.95" customHeight="1" x14ac:dyDescent="0.25"/>
    <row r="6917" s="1" customFormat="1" ht="15.95" customHeight="1" x14ac:dyDescent="0.25"/>
    <row r="6918" s="1" customFormat="1" ht="15.95" customHeight="1" x14ac:dyDescent="0.25"/>
    <row r="6919" s="1" customFormat="1" ht="15.95" customHeight="1" x14ac:dyDescent="0.25"/>
    <row r="6920" s="1" customFormat="1" ht="15.95" customHeight="1" x14ac:dyDescent="0.25"/>
    <row r="6921" s="1" customFormat="1" ht="15.95" customHeight="1" x14ac:dyDescent="0.25"/>
    <row r="6922" s="1" customFormat="1" ht="15.95" customHeight="1" x14ac:dyDescent="0.25"/>
    <row r="6923" s="1" customFormat="1" ht="15.95" customHeight="1" x14ac:dyDescent="0.25"/>
    <row r="6924" s="1" customFormat="1" ht="15.95" customHeight="1" x14ac:dyDescent="0.25"/>
    <row r="6925" s="1" customFormat="1" ht="15.95" customHeight="1" x14ac:dyDescent="0.25"/>
    <row r="6926" s="1" customFormat="1" ht="15.95" customHeight="1" x14ac:dyDescent="0.25"/>
    <row r="6927" s="1" customFormat="1" ht="15.95" customHeight="1" x14ac:dyDescent="0.25"/>
    <row r="6928" s="1" customFormat="1" ht="15.95" customHeight="1" x14ac:dyDescent="0.25"/>
    <row r="6929" s="1" customFormat="1" ht="15.95" customHeight="1" x14ac:dyDescent="0.25"/>
    <row r="6930" s="1" customFormat="1" ht="15.95" customHeight="1" x14ac:dyDescent="0.25"/>
    <row r="6931" s="1" customFormat="1" ht="15.95" customHeight="1" x14ac:dyDescent="0.25"/>
    <row r="6932" s="1" customFormat="1" ht="15.95" customHeight="1" x14ac:dyDescent="0.25"/>
    <row r="6933" s="1" customFormat="1" ht="15.95" customHeight="1" x14ac:dyDescent="0.25"/>
    <row r="6934" s="1" customFormat="1" ht="15.95" customHeight="1" x14ac:dyDescent="0.25"/>
    <row r="6935" s="1" customFormat="1" ht="15.95" customHeight="1" x14ac:dyDescent="0.25"/>
    <row r="6936" s="1" customFormat="1" ht="15.95" customHeight="1" x14ac:dyDescent="0.25"/>
    <row r="6937" s="1" customFormat="1" ht="15.95" customHeight="1" x14ac:dyDescent="0.25"/>
    <row r="6938" s="1" customFormat="1" ht="15.95" customHeight="1" x14ac:dyDescent="0.25"/>
    <row r="6939" s="1" customFormat="1" ht="15.95" customHeight="1" x14ac:dyDescent="0.25"/>
    <row r="6940" s="1" customFormat="1" ht="15.95" customHeight="1" x14ac:dyDescent="0.25"/>
    <row r="6941" s="1" customFormat="1" ht="15.95" customHeight="1" x14ac:dyDescent="0.25"/>
    <row r="6942" s="1" customFormat="1" ht="15.95" customHeight="1" x14ac:dyDescent="0.25"/>
    <row r="6943" s="1" customFormat="1" ht="15.95" customHeight="1" x14ac:dyDescent="0.25"/>
    <row r="6944" s="1" customFormat="1" ht="15.95" customHeight="1" x14ac:dyDescent="0.25"/>
    <row r="6945" s="1" customFormat="1" ht="15.95" customHeight="1" x14ac:dyDescent="0.25"/>
    <row r="6946" s="1" customFormat="1" ht="15.95" customHeight="1" x14ac:dyDescent="0.25"/>
    <row r="6947" s="1" customFormat="1" ht="15.95" customHeight="1" x14ac:dyDescent="0.25"/>
    <row r="6948" s="1" customFormat="1" ht="15.95" customHeight="1" x14ac:dyDescent="0.25"/>
    <row r="6949" s="1" customFormat="1" ht="15.95" customHeight="1" x14ac:dyDescent="0.25"/>
    <row r="6950" s="1" customFormat="1" ht="15.95" customHeight="1" x14ac:dyDescent="0.25"/>
    <row r="6951" s="1" customFormat="1" ht="15.95" customHeight="1" x14ac:dyDescent="0.25"/>
    <row r="6952" s="1" customFormat="1" ht="15.95" customHeight="1" x14ac:dyDescent="0.25"/>
    <row r="6953" s="1" customFormat="1" ht="15.95" customHeight="1" x14ac:dyDescent="0.25"/>
    <row r="6954" s="1" customFormat="1" ht="15.95" customHeight="1" x14ac:dyDescent="0.25"/>
    <row r="6955" s="1" customFormat="1" ht="15.95" customHeight="1" x14ac:dyDescent="0.25"/>
    <row r="6956" s="1" customFormat="1" ht="15.95" customHeight="1" x14ac:dyDescent="0.25"/>
    <row r="6957" s="1" customFormat="1" ht="15.95" customHeight="1" x14ac:dyDescent="0.25"/>
    <row r="6958" s="1" customFormat="1" ht="15.95" customHeight="1" x14ac:dyDescent="0.25"/>
    <row r="6959" s="1" customFormat="1" ht="15.95" customHeight="1" x14ac:dyDescent="0.25"/>
    <row r="6960" s="1" customFormat="1" ht="15.95" customHeight="1" x14ac:dyDescent="0.25"/>
    <row r="6961" s="1" customFormat="1" ht="15.95" customHeight="1" x14ac:dyDescent="0.25"/>
    <row r="6962" s="1" customFormat="1" ht="15.95" customHeight="1" x14ac:dyDescent="0.25"/>
    <row r="6963" s="1" customFormat="1" ht="15.95" customHeight="1" x14ac:dyDescent="0.25"/>
    <row r="6964" s="1" customFormat="1" ht="15.95" customHeight="1" x14ac:dyDescent="0.25"/>
    <row r="6965" s="1" customFormat="1" ht="15.95" customHeight="1" x14ac:dyDescent="0.25"/>
    <row r="6966" s="1" customFormat="1" ht="15.95" customHeight="1" x14ac:dyDescent="0.25"/>
    <row r="6967" s="1" customFormat="1" ht="15.95" customHeight="1" x14ac:dyDescent="0.25"/>
    <row r="6968" s="1" customFormat="1" ht="15.95" customHeight="1" x14ac:dyDescent="0.25"/>
    <row r="6969" s="1" customFormat="1" ht="15.95" customHeight="1" x14ac:dyDescent="0.25"/>
    <row r="6970" s="1" customFormat="1" ht="15.95" customHeight="1" x14ac:dyDescent="0.25"/>
    <row r="6971" s="1" customFormat="1" ht="15.95" customHeight="1" x14ac:dyDescent="0.25"/>
    <row r="6972" s="1" customFormat="1" ht="15.95" customHeight="1" x14ac:dyDescent="0.25"/>
    <row r="6973" s="1" customFormat="1" ht="15.95" customHeight="1" x14ac:dyDescent="0.25"/>
    <row r="6974" s="1" customFormat="1" ht="15.95" customHeight="1" x14ac:dyDescent="0.25"/>
    <row r="6975" s="1" customFormat="1" ht="15.95" customHeight="1" x14ac:dyDescent="0.25"/>
    <row r="6976" s="1" customFormat="1" ht="15.95" customHeight="1" x14ac:dyDescent="0.25"/>
    <row r="6977" s="1" customFormat="1" ht="15.95" customHeight="1" x14ac:dyDescent="0.25"/>
    <row r="6978" s="1" customFormat="1" ht="15.95" customHeight="1" x14ac:dyDescent="0.25"/>
    <row r="6979" s="1" customFormat="1" ht="15.95" customHeight="1" x14ac:dyDescent="0.25"/>
    <row r="6980" s="1" customFormat="1" ht="15.95" customHeight="1" x14ac:dyDescent="0.25"/>
    <row r="6981" s="1" customFormat="1" ht="15.95" customHeight="1" x14ac:dyDescent="0.25"/>
    <row r="6982" s="1" customFormat="1" ht="15.95" customHeight="1" x14ac:dyDescent="0.25"/>
    <row r="6983" s="1" customFormat="1" ht="15.95" customHeight="1" x14ac:dyDescent="0.25"/>
    <row r="6984" s="1" customFormat="1" ht="15.95" customHeight="1" x14ac:dyDescent="0.25"/>
    <row r="6985" s="1" customFormat="1" ht="15.95" customHeight="1" x14ac:dyDescent="0.25"/>
    <row r="6986" s="1" customFormat="1" ht="15.95" customHeight="1" x14ac:dyDescent="0.25"/>
    <row r="6987" s="1" customFormat="1" ht="15.95" customHeight="1" x14ac:dyDescent="0.25"/>
    <row r="6988" s="1" customFormat="1" ht="15.95" customHeight="1" x14ac:dyDescent="0.25"/>
    <row r="6989" s="1" customFormat="1" ht="15.95" customHeight="1" x14ac:dyDescent="0.25"/>
    <row r="6990" s="1" customFormat="1" ht="15.95" customHeight="1" x14ac:dyDescent="0.25"/>
    <row r="6991" s="1" customFormat="1" ht="15.95" customHeight="1" x14ac:dyDescent="0.25"/>
    <row r="6992" s="1" customFormat="1" ht="15.95" customHeight="1" x14ac:dyDescent="0.25"/>
    <row r="6993" s="1" customFormat="1" ht="15.95" customHeight="1" x14ac:dyDescent="0.25"/>
    <row r="6994" s="1" customFormat="1" ht="15.95" customHeight="1" x14ac:dyDescent="0.25"/>
    <row r="6995" s="1" customFormat="1" ht="15.95" customHeight="1" x14ac:dyDescent="0.25"/>
    <row r="6996" s="1" customFormat="1" ht="15.95" customHeight="1" x14ac:dyDescent="0.25"/>
    <row r="6997" s="1" customFormat="1" ht="15.95" customHeight="1" x14ac:dyDescent="0.25"/>
    <row r="6998" s="1" customFormat="1" ht="15.95" customHeight="1" x14ac:dyDescent="0.25"/>
    <row r="6999" s="1" customFormat="1" ht="15.95" customHeight="1" x14ac:dyDescent="0.25"/>
    <row r="7000" s="1" customFormat="1" ht="15.95" customHeight="1" x14ac:dyDescent="0.25"/>
    <row r="7001" s="1" customFormat="1" ht="15.95" customHeight="1" x14ac:dyDescent="0.25"/>
    <row r="7002" s="1" customFormat="1" ht="15.95" customHeight="1" x14ac:dyDescent="0.25"/>
    <row r="7003" s="1" customFormat="1" ht="15.95" customHeight="1" x14ac:dyDescent="0.25"/>
    <row r="7004" s="1" customFormat="1" ht="15.95" customHeight="1" x14ac:dyDescent="0.25"/>
    <row r="7005" s="1" customFormat="1" ht="15.95" customHeight="1" x14ac:dyDescent="0.25"/>
    <row r="7006" s="1" customFormat="1" ht="15.95" customHeight="1" x14ac:dyDescent="0.25"/>
    <row r="7007" s="1" customFormat="1" ht="15.95" customHeight="1" x14ac:dyDescent="0.25"/>
    <row r="7008" s="1" customFormat="1" ht="15.95" customHeight="1" x14ac:dyDescent="0.25"/>
    <row r="7009" s="1" customFormat="1" ht="15.95" customHeight="1" x14ac:dyDescent="0.25"/>
    <row r="7010" s="1" customFormat="1" ht="15.95" customHeight="1" x14ac:dyDescent="0.25"/>
    <row r="7011" s="1" customFormat="1" ht="15.95" customHeight="1" x14ac:dyDescent="0.25"/>
    <row r="7012" s="1" customFormat="1" ht="15.95" customHeight="1" x14ac:dyDescent="0.25"/>
    <row r="7013" s="1" customFormat="1" ht="15.95" customHeight="1" x14ac:dyDescent="0.25"/>
    <row r="7014" s="1" customFormat="1" ht="15.95" customHeight="1" x14ac:dyDescent="0.25"/>
    <row r="7015" s="1" customFormat="1" ht="15.95" customHeight="1" x14ac:dyDescent="0.25"/>
    <row r="7016" s="1" customFormat="1" ht="15.95" customHeight="1" x14ac:dyDescent="0.25"/>
    <row r="7017" s="1" customFormat="1" ht="15.95" customHeight="1" x14ac:dyDescent="0.25"/>
    <row r="7018" s="1" customFormat="1" ht="15.95" customHeight="1" x14ac:dyDescent="0.25"/>
    <row r="7019" s="1" customFormat="1" ht="15.95" customHeight="1" x14ac:dyDescent="0.25"/>
    <row r="7020" s="1" customFormat="1" ht="15.95" customHeight="1" x14ac:dyDescent="0.25"/>
    <row r="7021" s="1" customFormat="1" ht="15.95" customHeight="1" x14ac:dyDescent="0.25"/>
    <row r="7022" s="1" customFormat="1" ht="15.95" customHeight="1" x14ac:dyDescent="0.25"/>
    <row r="7023" s="1" customFormat="1" ht="15.95" customHeight="1" x14ac:dyDescent="0.25"/>
    <row r="7024" s="1" customFormat="1" ht="15.95" customHeight="1" x14ac:dyDescent="0.25"/>
    <row r="7025" s="1" customFormat="1" ht="15.95" customHeight="1" x14ac:dyDescent="0.25"/>
    <row r="7026" s="1" customFormat="1" ht="15.95" customHeight="1" x14ac:dyDescent="0.25"/>
    <row r="7027" s="1" customFormat="1" ht="15.95" customHeight="1" x14ac:dyDescent="0.25"/>
    <row r="7028" s="1" customFormat="1" ht="15.95" customHeight="1" x14ac:dyDescent="0.25"/>
    <row r="7029" s="1" customFormat="1" ht="15.95" customHeight="1" x14ac:dyDescent="0.25"/>
    <row r="7030" s="1" customFormat="1" ht="15.95" customHeight="1" x14ac:dyDescent="0.25"/>
    <row r="7031" s="1" customFormat="1" ht="15.95" customHeight="1" x14ac:dyDescent="0.25"/>
    <row r="7032" s="1" customFormat="1" ht="15.95" customHeight="1" x14ac:dyDescent="0.25"/>
    <row r="7033" s="1" customFormat="1" ht="15.95" customHeight="1" x14ac:dyDescent="0.25"/>
    <row r="7034" s="1" customFormat="1" ht="15.95" customHeight="1" x14ac:dyDescent="0.25"/>
    <row r="7035" s="1" customFormat="1" ht="15.95" customHeight="1" x14ac:dyDescent="0.25"/>
    <row r="7036" s="1" customFormat="1" ht="15.95" customHeight="1" x14ac:dyDescent="0.25"/>
    <row r="7037" s="1" customFormat="1" ht="15.95" customHeight="1" x14ac:dyDescent="0.25"/>
    <row r="7038" s="1" customFormat="1" ht="15.95" customHeight="1" x14ac:dyDescent="0.25"/>
    <row r="7039" s="1" customFormat="1" ht="15.95" customHeight="1" x14ac:dyDescent="0.25"/>
    <row r="7040" s="1" customFormat="1" ht="15.95" customHeight="1" x14ac:dyDescent="0.25"/>
    <row r="7041" s="1" customFormat="1" ht="15.95" customHeight="1" x14ac:dyDescent="0.25"/>
    <row r="7042" s="1" customFormat="1" ht="15.95" customHeight="1" x14ac:dyDescent="0.25"/>
    <row r="7043" s="1" customFormat="1" ht="15.95" customHeight="1" x14ac:dyDescent="0.25"/>
    <row r="7044" s="1" customFormat="1" ht="15.95" customHeight="1" x14ac:dyDescent="0.25"/>
    <row r="7045" s="1" customFormat="1" ht="15.95" customHeight="1" x14ac:dyDescent="0.25"/>
    <row r="7046" s="1" customFormat="1" ht="15.95" customHeight="1" x14ac:dyDescent="0.25"/>
    <row r="7047" s="1" customFormat="1" ht="15.95" customHeight="1" x14ac:dyDescent="0.25"/>
    <row r="7048" s="1" customFormat="1" ht="15.95" customHeight="1" x14ac:dyDescent="0.25"/>
    <row r="7049" s="1" customFormat="1" ht="15.95" customHeight="1" x14ac:dyDescent="0.25"/>
    <row r="7050" s="1" customFormat="1" ht="15.95" customHeight="1" x14ac:dyDescent="0.25"/>
    <row r="7051" s="1" customFormat="1" ht="15.95" customHeight="1" x14ac:dyDescent="0.25"/>
    <row r="7052" s="1" customFormat="1" ht="15.95" customHeight="1" x14ac:dyDescent="0.25"/>
    <row r="7053" s="1" customFormat="1" ht="15.95" customHeight="1" x14ac:dyDescent="0.25"/>
    <row r="7054" s="1" customFormat="1" ht="15.95" customHeight="1" x14ac:dyDescent="0.25"/>
    <row r="7055" s="1" customFormat="1" ht="15.95" customHeight="1" x14ac:dyDescent="0.25"/>
    <row r="7056" s="1" customFormat="1" ht="15.95" customHeight="1" x14ac:dyDescent="0.25"/>
    <row r="7057" s="1" customFormat="1" ht="15.95" customHeight="1" x14ac:dyDescent="0.25"/>
    <row r="7058" s="1" customFormat="1" ht="15.95" customHeight="1" x14ac:dyDescent="0.25"/>
    <row r="7059" s="1" customFormat="1" ht="15.95" customHeight="1" x14ac:dyDescent="0.25"/>
    <row r="7060" s="1" customFormat="1" ht="15.95" customHeight="1" x14ac:dyDescent="0.25"/>
    <row r="7061" s="1" customFormat="1" ht="15.95" customHeight="1" x14ac:dyDescent="0.25"/>
    <row r="7062" s="1" customFormat="1" ht="15.95" customHeight="1" x14ac:dyDescent="0.25"/>
    <row r="7063" s="1" customFormat="1" ht="15.95" customHeight="1" x14ac:dyDescent="0.25"/>
    <row r="7064" s="1" customFormat="1" ht="15.95" customHeight="1" x14ac:dyDescent="0.25"/>
    <row r="7065" s="1" customFormat="1" ht="15.95" customHeight="1" x14ac:dyDescent="0.25"/>
    <row r="7066" s="1" customFormat="1" ht="15.95" customHeight="1" x14ac:dyDescent="0.25"/>
    <row r="7067" s="1" customFormat="1" ht="15.95" customHeight="1" x14ac:dyDescent="0.25"/>
    <row r="7068" s="1" customFormat="1" ht="15.95" customHeight="1" x14ac:dyDescent="0.25"/>
    <row r="7069" s="1" customFormat="1" ht="15.95" customHeight="1" x14ac:dyDescent="0.25"/>
    <row r="7070" s="1" customFormat="1" ht="15.95" customHeight="1" x14ac:dyDescent="0.25"/>
    <row r="7071" s="1" customFormat="1" ht="15.95" customHeight="1" x14ac:dyDescent="0.25"/>
    <row r="7072" s="1" customFormat="1" ht="15.95" customHeight="1" x14ac:dyDescent="0.25"/>
    <row r="7073" s="1" customFormat="1" ht="15.95" customHeight="1" x14ac:dyDescent="0.25"/>
    <row r="7074" s="1" customFormat="1" ht="15.95" customHeight="1" x14ac:dyDescent="0.25"/>
    <row r="7075" s="1" customFormat="1" ht="15.95" customHeight="1" x14ac:dyDescent="0.25"/>
    <row r="7076" s="1" customFormat="1" ht="15.95" customHeight="1" x14ac:dyDescent="0.25"/>
    <row r="7077" s="1" customFormat="1" ht="15.95" customHeight="1" x14ac:dyDescent="0.25"/>
    <row r="7078" s="1" customFormat="1" ht="15.95" customHeight="1" x14ac:dyDescent="0.25"/>
    <row r="7079" s="1" customFormat="1" ht="15.95" customHeight="1" x14ac:dyDescent="0.25"/>
    <row r="7080" s="1" customFormat="1" ht="15.95" customHeight="1" x14ac:dyDescent="0.25"/>
    <row r="7081" s="1" customFormat="1" ht="15.95" customHeight="1" x14ac:dyDescent="0.25"/>
    <row r="7082" s="1" customFormat="1" ht="15.95" customHeight="1" x14ac:dyDescent="0.25"/>
    <row r="7083" s="1" customFormat="1" ht="15.95" customHeight="1" x14ac:dyDescent="0.25"/>
    <row r="7084" s="1" customFormat="1" ht="15.95" customHeight="1" x14ac:dyDescent="0.25"/>
    <row r="7085" s="1" customFormat="1" ht="15.95" customHeight="1" x14ac:dyDescent="0.25"/>
    <row r="7086" s="1" customFormat="1" ht="15.95" customHeight="1" x14ac:dyDescent="0.25"/>
    <row r="7087" s="1" customFormat="1" ht="15.95" customHeight="1" x14ac:dyDescent="0.25"/>
    <row r="7088" s="1" customFormat="1" ht="15.95" customHeight="1" x14ac:dyDescent="0.25"/>
    <row r="7089" s="1" customFormat="1" ht="15.95" customHeight="1" x14ac:dyDescent="0.25"/>
    <row r="7090" s="1" customFormat="1" ht="15.95" customHeight="1" x14ac:dyDescent="0.25"/>
    <row r="7091" s="1" customFormat="1" ht="15.95" customHeight="1" x14ac:dyDescent="0.25"/>
    <row r="7092" s="1" customFormat="1" ht="15.95" customHeight="1" x14ac:dyDescent="0.25"/>
    <row r="7093" s="1" customFormat="1" ht="15.95" customHeight="1" x14ac:dyDescent="0.25"/>
    <row r="7094" s="1" customFormat="1" ht="15.95" customHeight="1" x14ac:dyDescent="0.25"/>
    <row r="7095" s="1" customFormat="1" ht="15.95" customHeight="1" x14ac:dyDescent="0.25"/>
    <row r="7096" s="1" customFormat="1" ht="15.95" customHeight="1" x14ac:dyDescent="0.25"/>
    <row r="7097" s="1" customFormat="1" ht="15.95" customHeight="1" x14ac:dyDescent="0.25"/>
    <row r="7098" s="1" customFormat="1" ht="15.95" customHeight="1" x14ac:dyDescent="0.25"/>
    <row r="7099" s="1" customFormat="1" ht="15.95" customHeight="1" x14ac:dyDescent="0.25"/>
    <row r="7100" s="1" customFormat="1" ht="15.95" customHeight="1" x14ac:dyDescent="0.25"/>
    <row r="7101" s="1" customFormat="1" ht="15.95" customHeight="1" x14ac:dyDescent="0.25"/>
    <row r="7102" s="1" customFormat="1" ht="15.95" customHeight="1" x14ac:dyDescent="0.25"/>
    <row r="7103" s="1" customFormat="1" ht="15.95" customHeight="1" x14ac:dyDescent="0.25"/>
    <row r="7104" s="1" customFormat="1" ht="15.95" customHeight="1" x14ac:dyDescent="0.25"/>
    <row r="7105" s="1" customFormat="1" ht="15.95" customHeight="1" x14ac:dyDescent="0.25"/>
    <row r="7106" s="1" customFormat="1" ht="15.95" customHeight="1" x14ac:dyDescent="0.25"/>
    <row r="7107" s="1" customFormat="1" ht="15.95" customHeight="1" x14ac:dyDescent="0.25"/>
    <row r="7108" s="1" customFormat="1" ht="15.95" customHeight="1" x14ac:dyDescent="0.25"/>
    <row r="7109" s="1" customFormat="1" ht="15.95" customHeight="1" x14ac:dyDescent="0.25"/>
    <row r="7110" s="1" customFormat="1" ht="15.95" customHeight="1" x14ac:dyDescent="0.25"/>
    <row r="7111" s="1" customFormat="1" ht="15.95" customHeight="1" x14ac:dyDescent="0.25"/>
    <row r="7112" s="1" customFormat="1" ht="15.95" customHeight="1" x14ac:dyDescent="0.25"/>
    <row r="7113" s="1" customFormat="1" ht="15.95" customHeight="1" x14ac:dyDescent="0.25"/>
    <row r="7114" s="1" customFormat="1" ht="15.95" customHeight="1" x14ac:dyDescent="0.25"/>
    <row r="7115" s="1" customFormat="1" ht="15.95" customHeight="1" x14ac:dyDescent="0.25"/>
    <row r="7116" s="1" customFormat="1" ht="15.95" customHeight="1" x14ac:dyDescent="0.25"/>
    <row r="7117" s="1" customFormat="1" ht="15.95" customHeight="1" x14ac:dyDescent="0.25"/>
    <row r="7118" s="1" customFormat="1" ht="15.95" customHeight="1" x14ac:dyDescent="0.25"/>
    <row r="7119" s="1" customFormat="1" ht="15.95" customHeight="1" x14ac:dyDescent="0.25"/>
    <row r="7120" s="1" customFormat="1" ht="15.95" customHeight="1" x14ac:dyDescent="0.25"/>
    <row r="7121" s="1" customFormat="1" ht="15.95" customHeight="1" x14ac:dyDescent="0.25"/>
    <row r="7122" s="1" customFormat="1" ht="15.95" customHeight="1" x14ac:dyDescent="0.25"/>
    <row r="7123" s="1" customFormat="1" ht="15.95" customHeight="1" x14ac:dyDescent="0.25"/>
    <row r="7124" s="1" customFormat="1" ht="15.95" customHeight="1" x14ac:dyDescent="0.25"/>
    <row r="7125" s="1" customFormat="1" ht="15.95" customHeight="1" x14ac:dyDescent="0.25"/>
    <row r="7126" s="1" customFormat="1" ht="15.95" customHeight="1" x14ac:dyDescent="0.25"/>
    <row r="7127" s="1" customFormat="1" ht="15.95" customHeight="1" x14ac:dyDescent="0.25"/>
    <row r="7128" s="1" customFormat="1" ht="15.95" customHeight="1" x14ac:dyDescent="0.25"/>
    <row r="7129" s="1" customFormat="1" ht="15.95" customHeight="1" x14ac:dyDescent="0.25"/>
    <row r="7130" s="1" customFormat="1" ht="15.95" customHeight="1" x14ac:dyDescent="0.25"/>
    <row r="7131" s="1" customFormat="1" ht="15.95" customHeight="1" x14ac:dyDescent="0.25"/>
    <row r="7132" s="1" customFormat="1" ht="15.95" customHeight="1" x14ac:dyDescent="0.25"/>
    <row r="7133" s="1" customFormat="1" ht="15.95" customHeight="1" x14ac:dyDescent="0.25"/>
    <row r="7134" s="1" customFormat="1" ht="15.95" customHeight="1" x14ac:dyDescent="0.25"/>
    <row r="7135" s="1" customFormat="1" ht="15.95" customHeight="1" x14ac:dyDescent="0.25"/>
    <row r="7136" s="1" customFormat="1" ht="15.95" customHeight="1" x14ac:dyDescent="0.25"/>
    <row r="7137" s="1" customFormat="1" ht="15.95" customHeight="1" x14ac:dyDescent="0.25"/>
    <row r="7138" s="1" customFormat="1" ht="15.95" customHeight="1" x14ac:dyDescent="0.25"/>
    <row r="7139" s="1" customFormat="1" ht="15.95" customHeight="1" x14ac:dyDescent="0.25"/>
    <row r="7140" s="1" customFormat="1" ht="15.95" customHeight="1" x14ac:dyDescent="0.25"/>
    <row r="7141" s="1" customFormat="1" ht="15.95" customHeight="1" x14ac:dyDescent="0.25"/>
    <row r="7142" s="1" customFormat="1" ht="15.95" customHeight="1" x14ac:dyDescent="0.25"/>
    <row r="7143" s="1" customFormat="1" ht="15.95" customHeight="1" x14ac:dyDescent="0.25"/>
    <row r="7144" s="1" customFormat="1" ht="15.95" customHeight="1" x14ac:dyDescent="0.25"/>
    <row r="7145" s="1" customFormat="1" ht="15.95" customHeight="1" x14ac:dyDescent="0.25"/>
    <row r="7146" s="1" customFormat="1" ht="15.95" customHeight="1" x14ac:dyDescent="0.25"/>
    <row r="7147" s="1" customFormat="1" ht="15.95" customHeight="1" x14ac:dyDescent="0.25"/>
    <row r="7148" s="1" customFormat="1" ht="15.95" customHeight="1" x14ac:dyDescent="0.25"/>
    <row r="7149" s="1" customFormat="1" ht="15.95" customHeight="1" x14ac:dyDescent="0.25"/>
    <row r="7150" s="1" customFormat="1" ht="15.95" customHeight="1" x14ac:dyDescent="0.25"/>
    <row r="7151" s="1" customFormat="1" ht="15.95" customHeight="1" x14ac:dyDescent="0.25"/>
    <row r="7152" s="1" customFormat="1" ht="15.95" customHeight="1" x14ac:dyDescent="0.25"/>
    <row r="7153" s="1" customFormat="1" ht="15.95" customHeight="1" x14ac:dyDescent="0.25"/>
    <row r="7154" s="1" customFormat="1" ht="15.95" customHeight="1" x14ac:dyDescent="0.25"/>
    <row r="7155" s="1" customFormat="1" ht="15.95" customHeight="1" x14ac:dyDescent="0.25"/>
    <row r="7156" s="1" customFormat="1" ht="15.95" customHeight="1" x14ac:dyDescent="0.25"/>
    <row r="7157" s="1" customFormat="1" ht="15.95" customHeight="1" x14ac:dyDescent="0.25"/>
    <row r="7158" s="1" customFormat="1" ht="15.95" customHeight="1" x14ac:dyDescent="0.25"/>
    <row r="7159" s="1" customFormat="1" ht="15.95" customHeight="1" x14ac:dyDescent="0.25"/>
    <row r="7160" s="1" customFormat="1" ht="15.95" customHeight="1" x14ac:dyDescent="0.25"/>
    <row r="7161" s="1" customFormat="1" ht="15.95" customHeight="1" x14ac:dyDescent="0.25"/>
    <row r="7162" s="1" customFormat="1" ht="15.95" customHeight="1" x14ac:dyDescent="0.25"/>
    <row r="7163" s="1" customFormat="1" ht="15.95" customHeight="1" x14ac:dyDescent="0.25"/>
    <row r="7164" s="1" customFormat="1" ht="15.95" customHeight="1" x14ac:dyDescent="0.25"/>
    <row r="7165" s="1" customFormat="1" ht="15.95" customHeight="1" x14ac:dyDescent="0.25"/>
    <row r="7166" s="1" customFormat="1" ht="15.95" customHeight="1" x14ac:dyDescent="0.25"/>
    <row r="7167" s="1" customFormat="1" ht="15.95" customHeight="1" x14ac:dyDescent="0.25"/>
    <row r="7168" s="1" customFormat="1" ht="15.95" customHeight="1" x14ac:dyDescent="0.25"/>
    <row r="7169" s="1" customFormat="1" ht="15.95" customHeight="1" x14ac:dyDescent="0.25"/>
    <row r="7170" s="1" customFormat="1" ht="15.95" customHeight="1" x14ac:dyDescent="0.25"/>
    <row r="7171" s="1" customFormat="1" ht="15.95" customHeight="1" x14ac:dyDescent="0.25"/>
    <row r="7172" s="1" customFormat="1" ht="15.95" customHeight="1" x14ac:dyDescent="0.25"/>
    <row r="7173" s="1" customFormat="1" ht="15.95" customHeight="1" x14ac:dyDescent="0.25"/>
    <row r="7174" s="1" customFormat="1" ht="15.95" customHeight="1" x14ac:dyDescent="0.25"/>
    <row r="7175" s="1" customFormat="1" ht="15.95" customHeight="1" x14ac:dyDescent="0.25"/>
    <row r="7176" s="1" customFormat="1" ht="15.95" customHeight="1" x14ac:dyDescent="0.25"/>
    <row r="7177" s="1" customFormat="1" ht="15.95" customHeight="1" x14ac:dyDescent="0.25"/>
    <row r="7178" s="1" customFormat="1" ht="15.95" customHeight="1" x14ac:dyDescent="0.25"/>
    <row r="7179" s="1" customFormat="1" ht="15.95" customHeight="1" x14ac:dyDescent="0.25"/>
    <row r="7180" s="1" customFormat="1" ht="15.95" customHeight="1" x14ac:dyDescent="0.25"/>
    <row r="7181" s="1" customFormat="1" ht="15.95" customHeight="1" x14ac:dyDescent="0.25"/>
    <row r="7182" s="1" customFormat="1" ht="15.95" customHeight="1" x14ac:dyDescent="0.25"/>
    <row r="7183" s="1" customFormat="1" ht="15.95" customHeight="1" x14ac:dyDescent="0.25"/>
    <row r="7184" s="1" customFormat="1" ht="15.95" customHeight="1" x14ac:dyDescent="0.25"/>
    <row r="7185" s="1" customFormat="1" ht="15.95" customHeight="1" x14ac:dyDescent="0.25"/>
    <row r="7186" s="1" customFormat="1" ht="15.95" customHeight="1" x14ac:dyDescent="0.25"/>
    <row r="7187" s="1" customFormat="1" ht="15.95" customHeight="1" x14ac:dyDescent="0.25"/>
    <row r="7188" s="1" customFormat="1" ht="15.95" customHeight="1" x14ac:dyDescent="0.25"/>
    <row r="7189" s="1" customFormat="1" ht="15.95" customHeight="1" x14ac:dyDescent="0.25"/>
    <row r="7190" s="1" customFormat="1" ht="15.95" customHeight="1" x14ac:dyDescent="0.25"/>
    <row r="7191" s="1" customFormat="1" ht="15.95" customHeight="1" x14ac:dyDescent="0.25"/>
    <row r="7192" s="1" customFormat="1" ht="15.95" customHeight="1" x14ac:dyDescent="0.25"/>
    <row r="7193" s="1" customFormat="1" ht="15.95" customHeight="1" x14ac:dyDescent="0.25"/>
    <row r="7194" s="1" customFormat="1" ht="15.95" customHeight="1" x14ac:dyDescent="0.25"/>
    <row r="7195" s="1" customFormat="1" ht="15.95" customHeight="1" x14ac:dyDescent="0.25"/>
    <row r="7196" s="1" customFormat="1" ht="15.95" customHeight="1" x14ac:dyDescent="0.25"/>
    <row r="7197" s="1" customFormat="1" ht="15.95" customHeight="1" x14ac:dyDescent="0.25"/>
    <row r="7198" s="1" customFormat="1" ht="15.95" customHeight="1" x14ac:dyDescent="0.25"/>
    <row r="7199" s="1" customFormat="1" ht="15.95" customHeight="1" x14ac:dyDescent="0.25"/>
    <row r="7200" s="1" customFormat="1" ht="15.95" customHeight="1" x14ac:dyDescent="0.25"/>
    <row r="7201" s="1" customFormat="1" ht="15.95" customHeight="1" x14ac:dyDescent="0.25"/>
    <row r="7202" s="1" customFormat="1" ht="15.95" customHeight="1" x14ac:dyDescent="0.25"/>
    <row r="7203" s="1" customFormat="1" ht="15.95" customHeight="1" x14ac:dyDescent="0.25"/>
    <row r="7204" s="1" customFormat="1" ht="15.95" customHeight="1" x14ac:dyDescent="0.25"/>
    <row r="7205" s="1" customFormat="1" ht="15.95" customHeight="1" x14ac:dyDescent="0.25"/>
    <row r="7206" s="1" customFormat="1" ht="15.95" customHeight="1" x14ac:dyDescent="0.25"/>
    <row r="7207" s="1" customFormat="1" ht="15.95" customHeight="1" x14ac:dyDescent="0.25"/>
    <row r="7208" s="1" customFormat="1" ht="15.95" customHeight="1" x14ac:dyDescent="0.25"/>
    <row r="7209" s="1" customFormat="1" ht="15.95" customHeight="1" x14ac:dyDescent="0.25"/>
    <row r="7210" s="1" customFormat="1" ht="15.95" customHeight="1" x14ac:dyDescent="0.25"/>
    <row r="7211" s="1" customFormat="1" ht="15.95" customHeight="1" x14ac:dyDescent="0.25"/>
    <row r="7212" s="1" customFormat="1" ht="15.95" customHeight="1" x14ac:dyDescent="0.25"/>
    <row r="7213" s="1" customFormat="1" ht="15.95" customHeight="1" x14ac:dyDescent="0.25"/>
    <row r="7214" s="1" customFormat="1" ht="15.95" customHeight="1" x14ac:dyDescent="0.25"/>
    <row r="7215" s="1" customFormat="1" ht="15.95" customHeight="1" x14ac:dyDescent="0.25"/>
    <row r="7216" s="1" customFormat="1" ht="15.95" customHeight="1" x14ac:dyDescent="0.25"/>
    <row r="7217" s="1" customFormat="1" ht="15.95" customHeight="1" x14ac:dyDescent="0.25"/>
    <row r="7218" s="1" customFormat="1" ht="15.95" customHeight="1" x14ac:dyDescent="0.25"/>
    <row r="7219" s="1" customFormat="1" ht="15.95" customHeight="1" x14ac:dyDescent="0.25"/>
    <row r="7220" s="1" customFormat="1" ht="15.95" customHeight="1" x14ac:dyDescent="0.25"/>
    <row r="7221" s="1" customFormat="1" ht="15.95" customHeight="1" x14ac:dyDescent="0.25"/>
    <row r="7222" s="1" customFormat="1" ht="15.95" customHeight="1" x14ac:dyDescent="0.25"/>
    <row r="7223" s="1" customFormat="1" ht="15.95" customHeight="1" x14ac:dyDescent="0.25"/>
    <row r="7224" s="1" customFormat="1" ht="15.95" customHeight="1" x14ac:dyDescent="0.25"/>
    <row r="7225" s="1" customFormat="1" ht="15.95" customHeight="1" x14ac:dyDescent="0.25"/>
    <row r="7226" s="1" customFormat="1" ht="15.95" customHeight="1" x14ac:dyDescent="0.25"/>
    <row r="7227" s="1" customFormat="1" ht="15.95" customHeight="1" x14ac:dyDescent="0.25"/>
    <row r="7228" s="1" customFormat="1" ht="15.95" customHeight="1" x14ac:dyDescent="0.25"/>
    <row r="7229" s="1" customFormat="1" ht="15.95" customHeight="1" x14ac:dyDescent="0.25"/>
    <row r="7230" s="1" customFormat="1" ht="15.95" customHeight="1" x14ac:dyDescent="0.25"/>
    <row r="7231" s="1" customFormat="1" ht="15.95" customHeight="1" x14ac:dyDescent="0.25"/>
    <row r="7232" s="1" customFormat="1" ht="15.95" customHeight="1" x14ac:dyDescent="0.25"/>
    <row r="7233" s="1" customFormat="1" ht="15.95" customHeight="1" x14ac:dyDescent="0.25"/>
    <row r="7234" s="1" customFormat="1" ht="15.95" customHeight="1" x14ac:dyDescent="0.25"/>
    <row r="7235" s="1" customFormat="1" ht="15.95" customHeight="1" x14ac:dyDescent="0.25"/>
    <row r="7236" s="1" customFormat="1" ht="15.95" customHeight="1" x14ac:dyDescent="0.25"/>
    <row r="7237" s="1" customFormat="1" ht="15.95" customHeight="1" x14ac:dyDescent="0.25"/>
    <row r="7238" s="1" customFormat="1" ht="15.95" customHeight="1" x14ac:dyDescent="0.25"/>
    <row r="7239" s="1" customFormat="1" ht="15.95" customHeight="1" x14ac:dyDescent="0.25"/>
    <row r="7240" s="1" customFormat="1" ht="15.95" customHeight="1" x14ac:dyDescent="0.25"/>
    <row r="7241" s="1" customFormat="1" ht="15.95" customHeight="1" x14ac:dyDescent="0.25"/>
    <row r="7242" s="1" customFormat="1" ht="15.95" customHeight="1" x14ac:dyDescent="0.25"/>
    <row r="7243" s="1" customFormat="1" ht="15.95" customHeight="1" x14ac:dyDescent="0.25"/>
    <row r="7244" s="1" customFormat="1" ht="15.95" customHeight="1" x14ac:dyDescent="0.25"/>
    <row r="7245" s="1" customFormat="1" ht="15.95" customHeight="1" x14ac:dyDescent="0.25"/>
    <row r="7246" s="1" customFormat="1" ht="15.95" customHeight="1" x14ac:dyDescent="0.25"/>
    <row r="7247" s="1" customFormat="1" ht="15.95" customHeight="1" x14ac:dyDescent="0.25"/>
    <row r="7248" s="1" customFormat="1" ht="15.95" customHeight="1" x14ac:dyDescent="0.25"/>
    <row r="7249" s="1" customFormat="1" ht="15.95" customHeight="1" x14ac:dyDescent="0.25"/>
    <row r="7250" s="1" customFormat="1" ht="15.95" customHeight="1" x14ac:dyDescent="0.25"/>
    <row r="7251" s="1" customFormat="1" ht="15.95" customHeight="1" x14ac:dyDescent="0.25"/>
    <row r="7252" s="1" customFormat="1" ht="15.95" customHeight="1" x14ac:dyDescent="0.25"/>
    <row r="7253" s="1" customFormat="1" ht="15.95" customHeight="1" x14ac:dyDescent="0.25"/>
    <row r="7254" s="1" customFormat="1" ht="15.95" customHeight="1" x14ac:dyDescent="0.25"/>
    <row r="7255" s="1" customFormat="1" ht="15.95" customHeight="1" x14ac:dyDescent="0.25"/>
    <row r="7256" s="1" customFormat="1" ht="15.95" customHeight="1" x14ac:dyDescent="0.25"/>
    <row r="7257" s="1" customFormat="1" ht="15.95" customHeight="1" x14ac:dyDescent="0.25"/>
    <row r="7258" s="1" customFormat="1" ht="15.95" customHeight="1" x14ac:dyDescent="0.25"/>
    <row r="7259" s="1" customFormat="1" ht="15.95" customHeight="1" x14ac:dyDescent="0.25"/>
    <row r="7260" s="1" customFormat="1" ht="15.95" customHeight="1" x14ac:dyDescent="0.25"/>
    <row r="7261" s="1" customFormat="1" ht="15.95" customHeight="1" x14ac:dyDescent="0.25"/>
    <row r="7262" s="1" customFormat="1" ht="15.95" customHeight="1" x14ac:dyDescent="0.25"/>
    <row r="7263" s="1" customFormat="1" ht="15.95" customHeight="1" x14ac:dyDescent="0.25"/>
    <row r="7264" s="1" customFormat="1" ht="15.95" customHeight="1" x14ac:dyDescent="0.25"/>
    <row r="7265" s="1" customFormat="1" ht="15.95" customHeight="1" x14ac:dyDescent="0.25"/>
    <row r="7266" s="1" customFormat="1" ht="15.95" customHeight="1" x14ac:dyDescent="0.25"/>
    <row r="7267" s="1" customFormat="1" ht="15.95" customHeight="1" x14ac:dyDescent="0.25"/>
    <row r="7268" s="1" customFormat="1" ht="15.95" customHeight="1" x14ac:dyDescent="0.25"/>
    <row r="7269" s="1" customFormat="1" ht="15.95" customHeight="1" x14ac:dyDescent="0.25"/>
    <row r="7270" s="1" customFormat="1" ht="15.95" customHeight="1" x14ac:dyDescent="0.25"/>
    <row r="7271" s="1" customFormat="1" ht="15.95" customHeight="1" x14ac:dyDescent="0.25"/>
    <row r="7272" s="1" customFormat="1" ht="15.95" customHeight="1" x14ac:dyDescent="0.25"/>
    <row r="7273" s="1" customFormat="1" ht="15.95" customHeight="1" x14ac:dyDescent="0.25"/>
    <row r="7274" s="1" customFormat="1" ht="15.95" customHeight="1" x14ac:dyDescent="0.25"/>
    <row r="7275" s="1" customFormat="1" ht="15.95" customHeight="1" x14ac:dyDescent="0.25"/>
    <row r="7276" s="1" customFormat="1" ht="15.95" customHeight="1" x14ac:dyDescent="0.25"/>
    <row r="7277" s="1" customFormat="1" ht="15.95" customHeight="1" x14ac:dyDescent="0.25"/>
    <row r="7278" s="1" customFormat="1" ht="15.95" customHeight="1" x14ac:dyDescent="0.25"/>
    <row r="7279" s="1" customFormat="1" ht="15.95" customHeight="1" x14ac:dyDescent="0.25"/>
    <row r="7280" s="1" customFormat="1" ht="15.95" customHeight="1" x14ac:dyDescent="0.25"/>
    <row r="7281" s="1" customFormat="1" ht="15.95" customHeight="1" x14ac:dyDescent="0.25"/>
    <row r="7282" s="1" customFormat="1" ht="15.95" customHeight="1" x14ac:dyDescent="0.25"/>
    <row r="7283" s="1" customFormat="1" ht="15.95" customHeight="1" x14ac:dyDescent="0.25"/>
    <row r="7284" s="1" customFormat="1" ht="15.95" customHeight="1" x14ac:dyDescent="0.25"/>
    <row r="7285" s="1" customFormat="1" ht="15.95" customHeight="1" x14ac:dyDescent="0.25"/>
    <row r="7286" s="1" customFormat="1" ht="15.95" customHeight="1" x14ac:dyDescent="0.25"/>
    <row r="7287" s="1" customFormat="1" ht="15.95" customHeight="1" x14ac:dyDescent="0.25"/>
    <row r="7288" s="1" customFormat="1" ht="15.95" customHeight="1" x14ac:dyDescent="0.25"/>
    <row r="7289" s="1" customFormat="1" ht="15.95" customHeight="1" x14ac:dyDescent="0.25"/>
    <row r="7290" s="1" customFormat="1" ht="15.95" customHeight="1" x14ac:dyDescent="0.25"/>
    <row r="7291" s="1" customFormat="1" ht="15.95" customHeight="1" x14ac:dyDescent="0.25"/>
    <row r="7292" s="1" customFormat="1" ht="15.95" customHeight="1" x14ac:dyDescent="0.25"/>
    <row r="7293" s="1" customFormat="1" ht="15.95" customHeight="1" x14ac:dyDescent="0.25"/>
    <row r="7294" s="1" customFormat="1" ht="15.95" customHeight="1" x14ac:dyDescent="0.25"/>
    <row r="7295" s="1" customFormat="1" ht="15.95" customHeight="1" x14ac:dyDescent="0.25"/>
    <row r="7296" s="1" customFormat="1" ht="15.95" customHeight="1" x14ac:dyDescent="0.25"/>
    <row r="7297" s="1" customFormat="1" ht="15.95" customHeight="1" x14ac:dyDescent="0.25"/>
    <row r="7298" s="1" customFormat="1" ht="15.95" customHeight="1" x14ac:dyDescent="0.25"/>
    <row r="7299" s="1" customFormat="1" ht="15.95" customHeight="1" x14ac:dyDescent="0.25"/>
    <row r="7300" s="1" customFormat="1" ht="15.95" customHeight="1" x14ac:dyDescent="0.25"/>
    <row r="7301" s="1" customFormat="1" ht="15.95" customHeight="1" x14ac:dyDescent="0.25"/>
    <row r="7302" s="1" customFormat="1" ht="15.95" customHeight="1" x14ac:dyDescent="0.25"/>
    <row r="7303" s="1" customFormat="1" ht="15.95" customHeight="1" x14ac:dyDescent="0.25"/>
    <row r="7304" s="1" customFormat="1" ht="15.95" customHeight="1" x14ac:dyDescent="0.25"/>
    <row r="7305" s="1" customFormat="1" ht="15.95" customHeight="1" x14ac:dyDescent="0.25"/>
    <row r="7306" s="1" customFormat="1" ht="15.95" customHeight="1" x14ac:dyDescent="0.25"/>
    <row r="7307" s="1" customFormat="1" ht="15.95" customHeight="1" x14ac:dyDescent="0.25"/>
    <row r="7308" s="1" customFormat="1" ht="15.95" customHeight="1" x14ac:dyDescent="0.25"/>
    <row r="7309" s="1" customFormat="1" ht="15.95" customHeight="1" x14ac:dyDescent="0.25"/>
    <row r="7310" s="1" customFormat="1" ht="15.95" customHeight="1" x14ac:dyDescent="0.25"/>
    <row r="7311" s="1" customFormat="1" ht="15.95" customHeight="1" x14ac:dyDescent="0.25"/>
    <row r="7312" s="1" customFormat="1" ht="15.95" customHeight="1" x14ac:dyDescent="0.25"/>
    <row r="7313" s="1" customFormat="1" ht="15.95" customHeight="1" x14ac:dyDescent="0.25"/>
    <row r="7314" s="1" customFormat="1" ht="15.95" customHeight="1" x14ac:dyDescent="0.25"/>
    <row r="7315" s="1" customFormat="1" ht="15.95" customHeight="1" x14ac:dyDescent="0.25"/>
    <row r="7316" s="1" customFormat="1" ht="15.95" customHeight="1" x14ac:dyDescent="0.25"/>
    <row r="7317" s="1" customFormat="1" ht="15.95" customHeight="1" x14ac:dyDescent="0.25"/>
    <row r="7318" s="1" customFormat="1" ht="15.95" customHeight="1" x14ac:dyDescent="0.25"/>
    <row r="7319" s="1" customFormat="1" ht="15.95" customHeight="1" x14ac:dyDescent="0.25"/>
    <row r="7320" s="1" customFormat="1" ht="15.95" customHeight="1" x14ac:dyDescent="0.25"/>
    <row r="7321" s="1" customFormat="1" ht="15.95" customHeight="1" x14ac:dyDescent="0.25"/>
    <row r="7322" s="1" customFormat="1" ht="15.95" customHeight="1" x14ac:dyDescent="0.25"/>
    <row r="7323" s="1" customFormat="1" ht="15.95" customHeight="1" x14ac:dyDescent="0.25"/>
    <row r="7324" s="1" customFormat="1" ht="15.95" customHeight="1" x14ac:dyDescent="0.25"/>
    <row r="7325" s="1" customFormat="1" ht="15.95" customHeight="1" x14ac:dyDescent="0.25"/>
    <row r="7326" s="1" customFormat="1" ht="15.95" customHeight="1" x14ac:dyDescent="0.25"/>
    <row r="7327" s="1" customFormat="1" ht="15.95" customHeight="1" x14ac:dyDescent="0.25"/>
    <row r="7328" s="1" customFormat="1" ht="15.95" customHeight="1" x14ac:dyDescent="0.25"/>
    <row r="7329" s="1" customFormat="1" ht="15.95" customHeight="1" x14ac:dyDescent="0.25"/>
    <row r="7330" s="1" customFormat="1" ht="15.95" customHeight="1" x14ac:dyDescent="0.25"/>
    <row r="7331" s="1" customFormat="1" ht="15.95" customHeight="1" x14ac:dyDescent="0.25"/>
    <row r="7332" s="1" customFormat="1" ht="15.95" customHeight="1" x14ac:dyDescent="0.25"/>
    <row r="7333" s="1" customFormat="1" ht="15.95" customHeight="1" x14ac:dyDescent="0.25"/>
    <row r="7334" s="1" customFormat="1" ht="15.95" customHeight="1" x14ac:dyDescent="0.25"/>
    <row r="7335" s="1" customFormat="1" ht="15.95" customHeight="1" x14ac:dyDescent="0.25"/>
    <row r="7336" s="1" customFormat="1" ht="15.95" customHeight="1" x14ac:dyDescent="0.25"/>
    <row r="7337" s="1" customFormat="1" ht="15.95" customHeight="1" x14ac:dyDescent="0.25"/>
    <row r="7338" s="1" customFormat="1" ht="15.95" customHeight="1" x14ac:dyDescent="0.25"/>
    <row r="7339" s="1" customFormat="1" ht="15.95" customHeight="1" x14ac:dyDescent="0.25"/>
    <row r="7340" s="1" customFormat="1" ht="15.95" customHeight="1" x14ac:dyDescent="0.25"/>
    <row r="7341" s="1" customFormat="1" ht="15.95" customHeight="1" x14ac:dyDescent="0.25"/>
    <row r="7342" s="1" customFormat="1" ht="15.95" customHeight="1" x14ac:dyDescent="0.25"/>
    <row r="7343" s="1" customFormat="1" ht="15.95" customHeight="1" x14ac:dyDescent="0.25"/>
    <row r="7344" s="1" customFormat="1" ht="15.95" customHeight="1" x14ac:dyDescent="0.25"/>
    <row r="7345" s="1" customFormat="1" ht="15.95" customHeight="1" x14ac:dyDescent="0.25"/>
    <row r="7346" s="1" customFormat="1" ht="15.95" customHeight="1" x14ac:dyDescent="0.25"/>
    <row r="7347" s="1" customFormat="1" ht="15.95" customHeight="1" x14ac:dyDescent="0.25"/>
    <row r="7348" s="1" customFormat="1" ht="15.95" customHeight="1" x14ac:dyDescent="0.25"/>
    <row r="7349" s="1" customFormat="1" ht="15.95" customHeight="1" x14ac:dyDescent="0.25"/>
    <row r="7350" s="1" customFormat="1" ht="15.95" customHeight="1" x14ac:dyDescent="0.25"/>
    <row r="7351" s="1" customFormat="1" ht="15.95" customHeight="1" x14ac:dyDescent="0.25"/>
    <row r="7352" s="1" customFormat="1" ht="15.95" customHeight="1" x14ac:dyDescent="0.25"/>
    <row r="7353" s="1" customFormat="1" ht="15.95" customHeight="1" x14ac:dyDescent="0.25"/>
    <row r="7354" s="1" customFormat="1" ht="15.95" customHeight="1" x14ac:dyDescent="0.25"/>
    <row r="7355" s="1" customFormat="1" ht="15.95" customHeight="1" x14ac:dyDescent="0.25"/>
    <row r="7356" s="1" customFormat="1" ht="15.95" customHeight="1" x14ac:dyDescent="0.25"/>
    <row r="7357" s="1" customFormat="1" ht="15.95" customHeight="1" x14ac:dyDescent="0.25"/>
    <row r="7358" s="1" customFormat="1" ht="15.95" customHeight="1" x14ac:dyDescent="0.25"/>
    <row r="7359" s="1" customFormat="1" ht="15.95" customHeight="1" x14ac:dyDescent="0.25"/>
    <row r="7360" s="1" customFormat="1" ht="15.95" customHeight="1" x14ac:dyDescent="0.25"/>
    <row r="7361" s="1" customFormat="1" ht="15.95" customHeight="1" x14ac:dyDescent="0.25"/>
    <row r="7362" s="1" customFormat="1" ht="15.95" customHeight="1" x14ac:dyDescent="0.25"/>
    <row r="7363" s="1" customFormat="1" ht="15.95" customHeight="1" x14ac:dyDescent="0.25"/>
    <row r="7364" s="1" customFormat="1" ht="15.95" customHeight="1" x14ac:dyDescent="0.25"/>
    <row r="7365" s="1" customFormat="1" ht="15.95" customHeight="1" x14ac:dyDescent="0.25"/>
    <row r="7366" s="1" customFormat="1" ht="15.95" customHeight="1" x14ac:dyDescent="0.25"/>
    <row r="7367" s="1" customFormat="1" ht="15.95" customHeight="1" x14ac:dyDescent="0.25"/>
    <row r="7368" s="1" customFormat="1" ht="15.95" customHeight="1" x14ac:dyDescent="0.25"/>
    <row r="7369" s="1" customFormat="1" ht="15.95" customHeight="1" x14ac:dyDescent="0.25"/>
    <row r="7370" s="1" customFormat="1" ht="15.95" customHeight="1" x14ac:dyDescent="0.25"/>
    <row r="7371" s="1" customFormat="1" ht="15.95" customHeight="1" x14ac:dyDescent="0.25"/>
    <row r="7372" s="1" customFormat="1" ht="15.95" customHeight="1" x14ac:dyDescent="0.25"/>
    <row r="7373" s="1" customFormat="1" ht="15.95" customHeight="1" x14ac:dyDescent="0.25"/>
    <row r="7374" s="1" customFormat="1" ht="15.95" customHeight="1" x14ac:dyDescent="0.25"/>
    <row r="7375" s="1" customFormat="1" ht="15.95" customHeight="1" x14ac:dyDescent="0.25"/>
    <row r="7376" s="1" customFormat="1" ht="15.95" customHeight="1" x14ac:dyDescent="0.25"/>
    <row r="7377" s="1" customFormat="1" ht="15.95" customHeight="1" x14ac:dyDescent="0.25"/>
    <row r="7378" s="1" customFormat="1" ht="15.95" customHeight="1" x14ac:dyDescent="0.25"/>
    <row r="7379" s="1" customFormat="1" ht="15.95" customHeight="1" x14ac:dyDescent="0.25"/>
    <row r="7380" s="1" customFormat="1" ht="15.95" customHeight="1" x14ac:dyDescent="0.25"/>
    <row r="7381" s="1" customFormat="1" ht="15.95" customHeight="1" x14ac:dyDescent="0.25"/>
    <row r="7382" s="1" customFormat="1" ht="15.95" customHeight="1" x14ac:dyDescent="0.25"/>
    <row r="7383" s="1" customFormat="1" ht="15.95" customHeight="1" x14ac:dyDescent="0.25"/>
    <row r="7384" s="1" customFormat="1" ht="15.95" customHeight="1" x14ac:dyDescent="0.25"/>
    <row r="7385" s="1" customFormat="1" ht="15.95" customHeight="1" x14ac:dyDescent="0.25"/>
    <row r="7386" s="1" customFormat="1" ht="15.95" customHeight="1" x14ac:dyDescent="0.25"/>
    <row r="7387" s="1" customFormat="1" ht="15.95" customHeight="1" x14ac:dyDescent="0.25"/>
    <row r="7388" s="1" customFormat="1" ht="15.95" customHeight="1" x14ac:dyDescent="0.25"/>
    <row r="7389" s="1" customFormat="1" ht="15.95" customHeight="1" x14ac:dyDescent="0.25"/>
    <row r="7390" s="1" customFormat="1" ht="15.95" customHeight="1" x14ac:dyDescent="0.25"/>
    <row r="7391" s="1" customFormat="1" ht="15.95" customHeight="1" x14ac:dyDescent="0.25"/>
    <row r="7392" s="1" customFormat="1" ht="15.95" customHeight="1" x14ac:dyDescent="0.25"/>
    <row r="7393" s="1" customFormat="1" ht="15.95" customHeight="1" x14ac:dyDescent="0.25"/>
    <row r="7394" s="1" customFormat="1" ht="15.95" customHeight="1" x14ac:dyDescent="0.25"/>
    <row r="7395" s="1" customFormat="1" ht="15.95" customHeight="1" x14ac:dyDescent="0.25"/>
    <row r="7396" s="1" customFormat="1" ht="15.95" customHeight="1" x14ac:dyDescent="0.25"/>
    <row r="7397" s="1" customFormat="1" ht="15.95" customHeight="1" x14ac:dyDescent="0.25"/>
    <row r="7398" s="1" customFormat="1" ht="15.95" customHeight="1" x14ac:dyDescent="0.25"/>
    <row r="7399" s="1" customFormat="1" ht="15.95" customHeight="1" x14ac:dyDescent="0.25"/>
    <row r="7400" s="1" customFormat="1" ht="15.95" customHeight="1" x14ac:dyDescent="0.25"/>
    <row r="7401" s="1" customFormat="1" ht="15.95" customHeight="1" x14ac:dyDescent="0.25"/>
    <row r="7402" s="1" customFormat="1" ht="15.95" customHeight="1" x14ac:dyDescent="0.25"/>
    <row r="7403" s="1" customFormat="1" ht="15.95" customHeight="1" x14ac:dyDescent="0.25"/>
    <row r="7404" s="1" customFormat="1" ht="15.95" customHeight="1" x14ac:dyDescent="0.25"/>
    <row r="7405" s="1" customFormat="1" ht="15.95" customHeight="1" x14ac:dyDescent="0.25"/>
    <row r="7406" s="1" customFormat="1" ht="15.95" customHeight="1" x14ac:dyDescent="0.25"/>
    <row r="7407" s="1" customFormat="1" ht="15.95" customHeight="1" x14ac:dyDescent="0.25"/>
    <row r="7408" s="1" customFormat="1" ht="15.95" customHeight="1" x14ac:dyDescent="0.25"/>
    <row r="7409" s="1" customFormat="1" ht="15.95" customHeight="1" x14ac:dyDescent="0.25"/>
    <row r="7410" s="1" customFormat="1" ht="15.95" customHeight="1" x14ac:dyDescent="0.25"/>
    <row r="7411" s="1" customFormat="1" ht="15.95" customHeight="1" x14ac:dyDescent="0.25"/>
    <row r="7412" s="1" customFormat="1" ht="15.95" customHeight="1" x14ac:dyDescent="0.25"/>
    <row r="7413" s="1" customFormat="1" ht="15.95" customHeight="1" x14ac:dyDescent="0.25"/>
    <row r="7414" s="1" customFormat="1" ht="15.95" customHeight="1" x14ac:dyDescent="0.25"/>
    <row r="7415" s="1" customFormat="1" ht="15.95" customHeight="1" x14ac:dyDescent="0.25"/>
    <row r="7416" s="1" customFormat="1" ht="15.95" customHeight="1" x14ac:dyDescent="0.25"/>
    <row r="7417" s="1" customFormat="1" ht="15.95" customHeight="1" x14ac:dyDescent="0.25"/>
    <row r="7418" s="1" customFormat="1" ht="15.95" customHeight="1" x14ac:dyDescent="0.25"/>
    <row r="7419" s="1" customFormat="1" ht="15.95" customHeight="1" x14ac:dyDescent="0.25"/>
    <row r="7420" s="1" customFormat="1" ht="15.95" customHeight="1" x14ac:dyDescent="0.25"/>
    <row r="7421" s="1" customFormat="1" ht="15.95" customHeight="1" x14ac:dyDescent="0.25"/>
    <row r="7422" s="1" customFormat="1" ht="15.95" customHeight="1" x14ac:dyDescent="0.25"/>
    <row r="7423" s="1" customFormat="1" ht="15.95" customHeight="1" x14ac:dyDescent="0.25"/>
    <row r="7424" s="1" customFormat="1" ht="15.95" customHeight="1" x14ac:dyDescent="0.25"/>
    <row r="7425" s="1" customFormat="1" ht="15.95" customHeight="1" x14ac:dyDescent="0.25"/>
    <row r="7426" s="1" customFormat="1" ht="15.95" customHeight="1" x14ac:dyDescent="0.25"/>
    <row r="7427" s="1" customFormat="1" ht="15.95" customHeight="1" x14ac:dyDescent="0.25"/>
    <row r="7428" s="1" customFormat="1" ht="15.95" customHeight="1" x14ac:dyDescent="0.25"/>
    <row r="7429" s="1" customFormat="1" ht="15.95" customHeight="1" x14ac:dyDescent="0.25"/>
    <row r="7430" s="1" customFormat="1" ht="15.95" customHeight="1" x14ac:dyDescent="0.25"/>
    <row r="7431" s="1" customFormat="1" ht="15.95" customHeight="1" x14ac:dyDescent="0.25"/>
    <row r="7432" s="1" customFormat="1" ht="15.95" customHeight="1" x14ac:dyDescent="0.25"/>
    <row r="7433" s="1" customFormat="1" ht="15.95" customHeight="1" x14ac:dyDescent="0.25"/>
    <row r="7434" s="1" customFormat="1" ht="15.95" customHeight="1" x14ac:dyDescent="0.25"/>
    <row r="7435" s="1" customFormat="1" ht="15.95" customHeight="1" x14ac:dyDescent="0.25"/>
    <row r="7436" s="1" customFormat="1" ht="15.95" customHeight="1" x14ac:dyDescent="0.25"/>
    <row r="7437" s="1" customFormat="1" ht="15.95" customHeight="1" x14ac:dyDescent="0.25"/>
    <row r="7438" s="1" customFormat="1" ht="15.95" customHeight="1" x14ac:dyDescent="0.25"/>
    <row r="7439" s="1" customFormat="1" ht="15.95" customHeight="1" x14ac:dyDescent="0.25"/>
    <row r="7440" s="1" customFormat="1" ht="15.95" customHeight="1" x14ac:dyDescent="0.25"/>
    <row r="7441" s="1" customFormat="1" ht="15.95" customHeight="1" x14ac:dyDescent="0.25"/>
    <row r="7442" s="1" customFormat="1" ht="15.95" customHeight="1" x14ac:dyDescent="0.25"/>
    <row r="7443" s="1" customFormat="1" ht="15.95" customHeight="1" x14ac:dyDescent="0.25"/>
    <row r="7444" s="1" customFormat="1" ht="15.95" customHeight="1" x14ac:dyDescent="0.25"/>
    <row r="7445" s="1" customFormat="1" ht="15.95" customHeight="1" x14ac:dyDescent="0.25"/>
    <row r="7446" s="1" customFormat="1" ht="15.95" customHeight="1" x14ac:dyDescent="0.25"/>
    <row r="7447" s="1" customFormat="1" ht="15.95" customHeight="1" x14ac:dyDescent="0.25"/>
    <row r="7448" s="1" customFormat="1" ht="15.95" customHeight="1" x14ac:dyDescent="0.25"/>
    <row r="7449" s="1" customFormat="1" ht="15.95" customHeight="1" x14ac:dyDescent="0.25"/>
    <row r="7450" s="1" customFormat="1" ht="15.95" customHeight="1" x14ac:dyDescent="0.25"/>
    <row r="7451" s="1" customFormat="1" ht="15.95" customHeight="1" x14ac:dyDescent="0.25"/>
    <row r="7452" s="1" customFormat="1" ht="15.95" customHeight="1" x14ac:dyDescent="0.25"/>
    <row r="7453" s="1" customFormat="1" ht="15.95" customHeight="1" x14ac:dyDescent="0.25"/>
    <row r="7454" s="1" customFormat="1" ht="15.95" customHeight="1" x14ac:dyDescent="0.25"/>
    <row r="7455" s="1" customFormat="1" ht="15.95" customHeight="1" x14ac:dyDescent="0.25"/>
    <row r="7456" s="1" customFormat="1" ht="15.95" customHeight="1" x14ac:dyDescent="0.25"/>
    <row r="7457" s="1" customFormat="1" ht="15.95" customHeight="1" x14ac:dyDescent="0.25"/>
    <row r="7458" s="1" customFormat="1" ht="15.95" customHeight="1" x14ac:dyDescent="0.25"/>
    <row r="7459" s="1" customFormat="1" ht="15.95" customHeight="1" x14ac:dyDescent="0.25"/>
    <row r="7460" s="1" customFormat="1" ht="15.95" customHeight="1" x14ac:dyDescent="0.25"/>
    <row r="7461" s="1" customFormat="1" ht="15.95" customHeight="1" x14ac:dyDescent="0.25"/>
    <row r="7462" s="1" customFormat="1" ht="15.95" customHeight="1" x14ac:dyDescent="0.25"/>
    <row r="7463" s="1" customFormat="1" ht="15.95" customHeight="1" x14ac:dyDescent="0.25"/>
    <row r="7464" s="1" customFormat="1" ht="15.95" customHeight="1" x14ac:dyDescent="0.25"/>
    <row r="7465" s="1" customFormat="1" ht="15.95" customHeight="1" x14ac:dyDescent="0.25"/>
    <row r="7466" s="1" customFormat="1" ht="15.95" customHeight="1" x14ac:dyDescent="0.25"/>
    <row r="7467" s="1" customFormat="1" ht="15.95" customHeight="1" x14ac:dyDescent="0.25"/>
    <row r="7468" s="1" customFormat="1" ht="15.95" customHeight="1" x14ac:dyDescent="0.25"/>
    <row r="7469" s="1" customFormat="1" ht="15.95" customHeight="1" x14ac:dyDescent="0.25"/>
    <row r="7470" s="1" customFormat="1" ht="15.95" customHeight="1" x14ac:dyDescent="0.25"/>
    <row r="7471" s="1" customFormat="1" ht="15.95" customHeight="1" x14ac:dyDescent="0.25"/>
    <row r="7472" s="1" customFormat="1" ht="15.95" customHeight="1" x14ac:dyDescent="0.25"/>
    <row r="7473" s="1" customFormat="1" ht="15.95" customHeight="1" x14ac:dyDescent="0.25"/>
    <row r="7474" s="1" customFormat="1" ht="15.95" customHeight="1" x14ac:dyDescent="0.25"/>
    <row r="7475" s="1" customFormat="1" ht="15.95" customHeight="1" x14ac:dyDescent="0.25"/>
    <row r="7476" s="1" customFormat="1" ht="15.95" customHeight="1" x14ac:dyDescent="0.25"/>
    <row r="7477" s="1" customFormat="1" ht="15.95" customHeight="1" x14ac:dyDescent="0.25"/>
    <row r="7478" s="1" customFormat="1" ht="15.95" customHeight="1" x14ac:dyDescent="0.25"/>
    <row r="7479" s="1" customFormat="1" ht="15.95" customHeight="1" x14ac:dyDescent="0.25"/>
    <row r="7480" s="1" customFormat="1" ht="15.95" customHeight="1" x14ac:dyDescent="0.25"/>
    <row r="7481" s="1" customFormat="1" ht="15.95" customHeight="1" x14ac:dyDescent="0.25"/>
    <row r="7482" s="1" customFormat="1" ht="15.95" customHeight="1" x14ac:dyDescent="0.25"/>
    <row r="7483" s="1" customFormat="1" ht="15.95" customHeight="1" x14ac:dyDescent="0.25"/>
    <row r="7484" s="1" customFormat="1" ht="15.95" customHeight="1" x14ac:dyDescent="0.25"/>
    <row r="7485" s="1" customFormat="1" ht="15.95" customHeight="1" x14ac:dyDescent="0.25"/>
    <row r="7486" s="1" customFormat="1" ht="15.95" customHeight="1" x14ac:dyDescent="0.25"/>
    <row r="7487" s="1" customFormat="1" ht="15.95" customHeight="1" x14ac:dyDescent="0.25"/>
    <row r="7488" s="1" customFormat="1" ht="15.95" customHeight="1" x14ac:dyDescent="0.25"/>
    <row r="7489" s="1" customFormat="1" ht="15.95" customHeight="1" x14ac:dyDescent="0.25"/>
    <row r="7490" s="1" customFormat="1" ht="15.95" customHeight="1" x14ac:dyDescent="0.25"/>
    <row r="7491" s="1" customFormat="1" ht="15.95" customHeight="1" x14ac:dyDescent="0.25"/>
    <row r="7492" s="1" customFormat="1" ht="15.95" customHeight="1" x14ac:dyDescent="0.25"/>
    <row r="7493" s="1" customFormat="1" ht="15.95" customHeight="1" x14ac:dyDescent="0.25"/>
    <row r="7494" s="1" customFormat="1" ht="15.95" customHeight="1" x14ac:dyDescent="0.25"/>
    <row r="7495" s="1" customFormat="1" ht="15.95" customHeight="1" x14ac:dyDescent="0.25"/>
    <row r="7496" s="1" customFormat="1" ht="15.95" customHeight="1" x14ac:dyDescent="0.25"/>
    <row r="7497" s="1" customFormat="1" ht="15.95" customHeight="1" x14ac:dyDescent="0.25"/>
    <row r="7498" s="1" customFormat="1" ht="15.95" customHeight="1" x14ac:dyDescent="0.25"/>
    <row r="7499" s="1" customFormat="1" ht="15.95" customHeight="1" x14ac:dyDescent="0.25"/>
    <row r="7500" s="1" customFormat="1" ht="15.95" customHeight="1" x14ac:dyDescent="0.25"/>
    <row r="7501" s="1" customFormat="1" ht="15.95" customHeight="1" x14ac:dyDescent="0.25"/>
    <row r="7502" s="1" customFormat="1" ht="15.95" customHeight="1" x14ac:dyDescent="0.25"/>
    <row r="7503" s="1" customFormat="1" ht="15.95" customHeight="1" x14ac:dyDescent="0.25"/>
    <row r="7504" s="1" customFormat="1" ht="15.95" customHeight="1" x14ac:dyDescent="0.25"/>
    <row r="7505" s="1" customFormat="1" ht="15.95" customHeight="1" x14ac:dyDescent="0.25"/>
    <row r="7506" s="1" customFormat="1" ht="15.95" customHeight="1" x14ac:dyDescent="0.25"/>
    <row r="7507" s="1" customFormat="1" ht="15.95" customHeight="1" x14ac:dyDescent="0.25"/>
    <row r="7508" s="1" customFormat="1" ht="15.95" customHeight="1" x14ac:dyDescent="0.25"/>
    <row r="7509" s="1" customFormat="1" ht="15.95" customHeight="1" x14ac:dyDescent="0.25"/>
    <row r="7510" s="1" customFormat="1" ht="15.95" customHeight="1" x14ac:dyDescent="0.25"/>
    <row r="7511" s="1" customFormat="1" ht="15.95" customHeight="1" x14ac:dyDescent="0.25"/>
    <row r="7512" s="1" customFormat="1" ht="15.95" customHeight="1" x14ac:dyDescent="0.25"/>
    <row r="7513" s="1" customFormat="1" ht="15.95" customHeight="1" x14ac:dyDescent="0.25"/>
    <row r="7514" s="1" customFormat="1" ht="15.95" customHeight="1" x14ac:dyDescent="0.25"/>
    <row r="7515" s="1" customFormat="1" ht="15.95" customHeight="1" x14ac:dyDescent="0.25"/>
    <row r="7516" s="1" customFormat="1" ht="15.95" customHeight="1" x14ac:dyDescent="0.25"/>
    <row r="7517" s="1" customFormat="1" ht="15.95" customHeight="1" x14ac:dyDescent="0.25"/>
    <row r="7518" s="1" customFormat="1" ht="15.95" customHeight="1" x14ac:dyDescent="0.25"/>
    <row r="7519" s="1" customFormat="1" ht="15.95" customHeight="1" x14ac:dyDescent="0.25"/>
    <row r="7520" s="1" customFormat="1" ht="15.95" customHeight="1" x14ac:dyDescent="0.25"/>
    <row r="7521" s="1" customFormat="1" ht="15.95" customHeight="1" x14ac:dyDescent="0.25"/>
    <row r="7522" s="1" customFormat="1" ht="15.95" customHeight="1" x14ac:dyDescent="0.25"/>
    <row r="7523" s="1" customFormat="1" ht="15.95" customHeight="1" x14ac:dyDescent="0.25"/>
    <row r="7524" s="1" customFormat="1" ht="15.95" customHeight="1" x14ac:dyDescent="0.25"/>
    <row r="7525" s="1" customFormat="1" ht="15.95" customHeight="1" x14ac:dyDescent="0.25"/>
    <row r="7526" s="1" customFormat="1" ht="15.95" customHeight="1" x14ac:dyDescent="0.25"/>
    <row r="7527" s="1" customFormat="1" ht="15.95" customHeight="1" x14ac:dyDescent="0.25"/>
    <row r="7528" s="1" customFormat="1" ht="15.95" customHeight="1" x14ac:dyDescent="0.25"/>
    <row r="7529" s="1" customFormat="1" ht="15.95" customHeight="1" x14ac:dyDescent="0.25"/>
    <row r="7530" s="1" customFormat="1" ht="15.95" customHeight="1" x14ac:dyDescent="0.25"/>
    <row r="7531" s="1" customFormat="1" ht="15.95" customHeight="1" x14ac:dyDescent="0.25"/>
    <row r="7532" s="1" customFormat="1" ht="15.95" customHeight="1" x14ac:dyDescent="0.25"/>
    <row r="7533" s="1" customFormat="1" ht="15.95" customHeight="1" x14ac:dyDescent="0.25"/>
    <row r="7534" s="1" customFormat="1" ht="15.95" customHeight="1" x14ac:dyDescent="0.25"/>
    <row r="7535" s="1" customFormat="1" ht="15.95" customHeight="1" x14ac:dyDescent="0.25"/>
    <row r="7536" s="1" customFormat="1" ht="15.95" customHeight="1" x14ac:dyDescent="0.25"/>
    <row r="7537" s="1" customFormat="1" ht="15.95" customHeight="1" x14ac:dyDescent="0.25"/>
    <row r="7538" s="1" customFormat="1" ht="15.95" customHeight="1" x14ac:dyDescent="0.25"/>
    <row r="7539" s="1" customFormat="1" ht="15.95" customHeight="1" x14ac:dyDescent="0.25"/>
    <row r="7540" s="1" customFormat="1" ht="15.95" customHeight="1" x14ac:dyDescent="0.25"/>
    <row r="7541" s="1" customFormat="1" ht="15.95" customHeight="1" x14ac:dyDescent="0.25"/>
    <row r="7542" s="1" customFormat="1" ht="15.95" customHeight="1" x14ac:dyDescent="0.25"/>
    <row r="7543" s="1" customFormat="1" ht="15.95" customHeight="1" x14ac:dyDescent="0.25"/>
    <row r="7544" s="1" customFormat="1" ht="15.95" customHeight="1" x14ac:dyDescent="0.25"/>
    <row r="7545" s="1" customFormat="1" ht="15.95" customHeight="1" x14ac:dyDescent="0.25"/>
    <row r="7546" s="1" customFormat="1" ht="15.95" customHeight="1" x14ac:dyDescent="0.25"/>
    <row r="7547" s="1" customFormat="1" ht="15.95" customHeight="1" x14ac:dyDescent="0.25"/>
    <row r="7548" s="1" customFormat="1" ht="15.95" customHeight="1" x14ac:dyDescent="0.25"/>
    <row r="7549" s="1" customFormat="1" ht="15.95" customHeight="1" x14ac:dyDescent="0.25"/>
    <row r="7550" s="1" customFormat="1" ht="15.95" customHeight="1" x14ac:dyDescent="0.25"/>
    <row r="7551" s="1" customFormat="1" ht="15.95" customHeight="1" x14ac:dyDescent="0.25"/>
    <row r="7552" s="1" customFormat="1" ht="15.95" customHeight="1" x14ac:dyDescent="0.25"/>
    <row r="7553" s="1" customFormat="1" ht="15.95" customHeight="1" x14ac:dyDescent="0.25"/>
    <row r="7554" s="1" customFormat="1" ht="15.95" customHeight="1" x14ac:dyDescent="0.25"/>
    <row r="7555" s="1" customFormat="1" ht="15.95" customHeight="1" x14ac:dyDescent="0.25"/>
    <row r="7556" s="1" customFormat="1" ht="15.95" customHeight="1" x14ac:dyDescent="0.25"/>
    <row r="7557" s="1" customFormat="1" ht="15.95" customHeight="1" x14ac:dyDescent="0.25"/>
    <row r="7558" s="1" customFormat="1" ht="15.95" customHeight="1" x14ac:dyDescent="0.25"/>
    <row r="7559" s="1" customFormat="1" ht="15.95" customHeight="1" x14ac:dyDescent="0.25"/>
    <row r="7560" s="1" customFormat="1" ht="15.95" customHeight="1" x14ac:dyDescent="0.25"/>
    <row r="7561" s="1" customFormat="1" ht="15.95" customHeight="1" x14ac:dyDescent="0.25"/>
    <row r="7562" s="1" customFormat="1" ht="15.95" customHeight="1" x14ac:dyDescent="0.25"/>
    <row r="7563" s="1" customFormat="1" ht="15.95" customHeight="1" x14ac:dyDescent="0.25"/>
    <row r="7564" s="1" customFormat="1" ht="15.95" customHeight="1" x14ac:dyDescent="0.25"/>
    <row r="7565" s="1" customFormat="1" ht="15.95" customHeight="1" x14ac:dyDescent="0.25"/>
    <row r="7566" s="1" customFormat="1" ht="15.95" customHeight="1" x14ac:dyDescent="0.25"/>
    <row r="7567" s="1" customFormat="1" ht="15.95" customHeight="1" x14ac:dyDescent="0.25"/>
    <row r="7568" s="1" customFormat="1" ht="15.95" customHeight="1" x14ac:dyDescent="0.25"/>
    <row r="7569" s="1" customFormat="1" ht="15.95" customHeight="1" x14ac:dyDescent="0.25"/>
    <row r="7570" s="1" customFormat="1" ht="15.95" customHeight="1" x14ac:dyDescent="0.25"/>
    <row r="7571" s="1" customFormat="1" ht="15.95" customHeight="1" x14ac:dyDescent="0.25"/>
    <row r="7572" s="1" customFormat="1" ht="15.95" customHeight="1" x14ac:dyDescent="0.25"/>
    <row r="7573" s="1" customFormat="1" ht="15.95" customHeight="1" x14ac:dyDescent="0.25"/>
    <row r="7574" s="1" customFormat="1" ht="15.95" customHeight="1" x14ac:dyDescent="0.25"/>
    <row r="7575" s="1" customFormat="1" ht="15.95" customHeight="1" x14ac:dyDescent="0.25"/>
    <row r="7576" s="1" customFormat="1" ht="15.95" customHeight="1" x14ac:dyDescent="0.25"/>
    <row r="7577" s="1" customFormat="1" ht="15.95" customHeight="1" x14ac:dyDescent="0.25"/>
    <row r="7578" s="1" customFormat="1" ht="15.95" customHeight="1" x14ac:dyDescent="0.25"/>
    <row r="7579" s="1" customFormat="1" ht="15.95" customHeight="1" x14ac:dyDescent="0.25"/>
    <row r="7580" s="1" customFormat="1" ht="15.95" customHeight="1" x14ac:dyDescent="0.25"/>
    <row r="7581" s="1" customFormat="1" ht="15.95" customHeight="1" x14ac:dyDescent="0.25"/>
    <row r="7582" s="1" customFormat="1" ht="15.95" customHeight="1" x14ac:dyDescent="0.25"/>
    <row r="7583" s="1" customFormat="1" ht="15.95" customHeight="1" x14ac:dyDescent="0.25"/>
    <row r="7584" s="1" customFormat="1" ht="15.95" customHeight="1" x14ac:dyDescent="0.25"/>
    <row r="7585" s="1" customFormat="1" ht="15.95" customHeight="1" x14ac:dyDescent="0.25"/>
    <row r="7586" s="1" customFormat="1" ht="15.95" customHeight="1" x14ac:dyDescent="0.25"/>
    <row r="7587" s="1" customFormat="1" ht="15.95" customHeight="1" x14ac:dyDescent="0.25"/>
    <row r="7588" s="1" customFormat="1" ht="15.95" customHeight="1" x14ac:dyDescent="0.25"/>
    <row r="7589" s="1" customFormat="1" ht="15.95" customHeight="1" x14ac:dyDescent="0.25"/>
    <row r="7590" s="1" customFormat="1" ht="15.95" customHeight="1" x14ac:dyDescent="0.25"/>
    <row r="7591" s="1" customFormat="1" ht="15.95" customHeight="1" x14ac:dyDescent="0.25"/>
    <row r="7592" s="1" customFormat="1" ht="15.95" customHeight="1" x14ac:dyDescent="0.25"/>
    <row r="7593" s="1" customFormat="1" ht="15.95" customHeight="1" x14ac:dyDescent="0.25"/>
    <row r="7594" s="1" customFormat="1" ht="15.95" customHeight="1" x14ac:dyDescent="0.25"/>
    <row r="7595" s="1" customFormat="1" ht="15.95" customHeight="1" x14ac:dyDescent="0.25"/>
    <row r="7596" s="1" customFormat="1" ht="15.95" customHeight="1" x14ac:dyDescent="0.25"/>
    <row r="7597" s="1" customFormat="1" ht="15.95" customHeight="1" x14ac:dyDescent="0.25"/>
    <row r="7598" s="1" customFormat="1" ht="15.95" customHeight="1" x14ac:dyDescent="0.25"/>
    <row r="7599" s="1" customFormat="1" ht="15.95" customHeight="1" x14ac:dyDescent="0.25"/>
    <row r="7600" s="1" customFormat="1" ht="15.95" customHeight="1" x14ac:dyDescent="0.25"/>
    <row r="7601" s="1" customFormat="1" ht="15.95" customHeight="1" x14ac:dyDescent="0.25"/>
    <row r="7602" s="1" customFormat="1" ht="15.95" customHeight="1" x14ac:dyDescent="0.25"/>
    <row r="7603" s="1" customFormat="1" ht="15.95" customHeight="1" x14ac:dyDescent="0.25"/>
    <row r="7604" s="1" customFormat="1" ht="15.95" customHeight="1" x14ac:dyDescent="0.25"/>
    <row r="7605" s="1" customFormat="1" ht="15.95" customHeight="1" x14ac:dyDescent="0.25"/>
    <row r="7606" s="1" customFormat="1" ht="15.95" customHeight="1" x14ac:dyDescent="0.25"/>
    <row r="7607" s="1" customFormat="1" ht="15.95" customHeight="1" x14ac:dyDescent="0.25"/>
    <row r="7608" s="1" customFormat="1" ht="15.95" customHeight="1" x14ac:dyDescent="0.25"/>
    <row r="7609" s="1" customFormat="1" ht="15.95" customHeight="1" x14ac:dyDescent="0.25"/>
    <row r="7610" s="1" customFormat="1" ht="15.95" customHeight="1" x14ac:dyDescent="0.25"/>
    <row r="7611" s="1" customFormat="1" ht="15.95" customHeight="1" x14ac:dyDescent="0.25"/>
    <row r="7612" s="1" customFormat="1" ht="15.95" customHeight="1" x14ac:dyDescent="0.25"/>
    <row r="7613" s="1" customFormat="1" ht="15.95" customHeight="1" x14ac:dyDescent="0.25"/>
    <row r="7614" s="1" customFormat="1" ht="15.95" customHeight="1" x14ac:dyDescent="0.25"/>
    <row r="7615" s="1" customFormat="1" ht="15.95" customHeight="1" x14ac:dyDescent="0.25"/>
    <row r="7616" s="1" customFormat="1" ht="15.95" customHeight="1" x14ac:dyDescent="0.25"/>
    <row r="7617" s="1" customFormat="1" ht="15.95" customHeight="1" x14ac:dyDescent="0.25"/>
    <row r="7618" s="1" customFormat="1" ht="15.95" customHeight="1" x14ac:dyDescent="0.25"/>
    <row r="7619" s="1" customFormat="1" ht="15.95" customHeight="1" x14ac:dyDescent="0.25"/>
    <row r="7620" s="1" customFormat="1" ht="15.95" customHeight="1" x14ac:dyDescent="0.25"/>
    <row r="7621" s="1" customFormat="1" ht="15.95" customHeight="1" x14ac:dyDescent="0.25"/>
    <row r="7622" s="1" customFormat="1" ht="15.95" customHeight="1" x14ac:dyDescent="0.25"/>
    <row r="7623" s="1" customFormat="1" ht="15.95" customHeight="1" x14ac:dyDescent="0.25"/>
    <row r="7624" s="1" customFormat="1" ht="15.95" customHeight="1" x14ac:dyDescent="0.25"/>
    <row r="7625" s="1" customFormat="1" ht="15.95" customHeight="1" x14ac:dyDescent="0.25"/>
    <row r="7626" s="1" customFormat="1" ht="15.95" customHeight="1" x14ac:dyDescent="0.25"/>
    <row r="7627" s="1" customFormat="1" ht="15.95" customHeight="1" x14ac:dyDescent="0.25"/>
    <row r="7628" s="1" customFormat="1" ht="15.95" customHeight="1" x14ac:dyDescent="0.25"/>
    <row r="7629" s="1" customFormat="1" ht="15.95" customHeight="1" x14ac:dyDescent="0.25"/>
    <row r="7630" s="1" customFormat="1" ht="15.95" customHeight="1" x14ac:dyDescent="0.25"/>
    <row r="7631" s="1" customFormat="1" ht="15.95" customHeight="1" x14ac:dyDescent="0.25"/>
    <row r="7632" s="1" customFormat="1" ht="15.95" customHeight="1" x14ac:dyDescent="0.25"/>
    <row r="7633" s="1" customFormat="1" ht="15.95" customHeight="1" x14ac:dyDescent="0.25"/>
    <row r="7634" s="1" customFormat="1" ht="15.95" customHeight="1" x14ac:dyDescent="0.25"/>
    <row r="7635" s="1" customFormat="1" ht="15.95" customHeight="1" x14ac:dyDescent="0.25"/>
    <row r="7636" s="1" customFormat="1" ht="15.95" customHeight="1" x14ac:dyDescent="0.25"/>
    <row r="7637" s="1" customFormat="1" ht="15.95" customHeight="1" x14ac:dyDescent="0.25"/>
    <row r="7638" s="1" customFormat="1" ht="15.95" customHeight="1" x14ac:dyDescent="0.25"/>
    <row r="7639" s="1" customFormat="1" ht="15.95" customHeight="1" x14ac:dyDescent="0.25"/>
    <row r="7640" s="1" customFormat="1" ht="15.95" customHeight="1" x14ac:dyDescent="0.25"/>
    <row r="7641" s="1" customFormat="1" ht="15.95" customHeight="1" x14ac:dyDescent="0.25"/>
    <row r="7642" s="1" customFormat="1" ht="15.95" customHeight="1" x14ac:dyDescent="0.25"/>
    <row r="7643" s="1" customFormat="1" ht="15.95" customHeight="1" x14ac:dyDescent="0.25"/>
    <row r="7644" s="1" customFormat="1" ht="15.95" customHeight="1" x14ac:dyDescent="0.25"/>
    <row r="7645" s="1" customFormat="1" ht="15.95" customHeight="1" x14ac:dyDescent="0.25"/>
    <row r="7646" s="1" customFormat="1" ht="15.95" customHeight="1" x14ac:dyDescent="0.25"/>
    <row r="7647" s="1" customFormat="1" ht="15.95" customHeight="1" x14ac:dyDescent="0.25"/>
    <row r="7648" s="1" customFormat="1" ht="15.95" customHeight="1" x14ac:dyDescent="0.25"/>
    <row r="7649" s="1" customFormat="1" ht="15.95" customHeight="1" x14ac:dyDescent="0.25"/>
    <row r="7650" s="1" customFormat="1" ht="15.95" customHeight="1" x14ac:dyDescent="0.25"/>
    <row r="7651" s="1" customFormat="1" ht="15.95" customHeight="1" x14ac:dyDescent="0.25"/>
    <row r="7652" s="1" customFormat="1" ht="15.95" customHeight="1" x14ac:dyDescent="0.25"/>
    <row r="7653" s="1" customFormat="1" ht="15.95" customHeight="1" x14ac:dyDescent="0.25"/>
    <row r="7654" s="1" customFormat="1" ht="15.95" customHeight="1" x14ac:dyDescent="0.25"/>
    <row r="7655" s="1" customFormat="1" ht="15.95" customHeight="1" x14ac:dyDescent="0.25"/>
    <row r="7656" s="1" customFormat="1" ht="15.95" customHeight="1" x14ac:dyDescent="0.25"/>
    <row r="7657" s="1" customFormat="1" ht="15.95" customHeight="1" x14ac:dyDescent="0.25"/>
    <row r="7658" s="1" customFormat="1" ht="15.95" customHeight="1" x14ac:dyDescent="0.25"/>
    <row r="7659" s="1" customFormat="1" ht="15.95" customHeight="1" x14ac:dyDescent="0.25"/>
    <row r="7660" s="1" customFormat="1" ht="15.95" customHeight="1" x14ac:dyDescent="0.25"/>
    <row r="7661" s="1" customFormat="1" ht="15.95" customHeight="1" x14ac:dyDescent="0.25"/>
    <row r="7662" s="1" customFormat="1" ht="15.95" customHeight="1" x14ac:dyDescent="0.25"/>
    <row r="7663" s="1" customFormat="1" ht="15.95" customHeight="1" x14ac:dyDescent="0.25"/>
    <row r="7664" s="1" customFormat="1" ht="15.95" customHeight="1" x14ac:dyDescent="0.25"/>
    <row r="7665" s="1" customFormat="1" ht="15.95" customHeight="1" x14ac:dyDescent="0.25"/>
    <row r="7666" s="1" customFormat="1" ht="15.95" customHeight="1" x14ac:dyDescent="0.25"/>
    <row r="7667" s="1" customFormat="1" ht="15.95" customHeight="1" x14ac:dyDescent="0.25"/>
    <row r="7668" s="1" customFormat="1" ht="15.95" customHeight="1" x14ac:dyDescent="0.25"/>
    <row r="7669" s="1" customFormat="1" ht="15.95" customHeight="1" x14ac:dyDescent="0.25"/>
    <row r="7670" s="1" customFormat="1" ht="15.95" customHeight="1" x14ac:dyDescent="0.25"/>
    <row r="7671" s="1" customFormat="1" ht="15.95" customHeight="1" x14ac:dyDescent="0.25"/>
    <row r="7672" s="1" customFormat="1" ht="15.95" customHeight="1" x14ac:dyDescent="0.25"/>
    <row r="7673" s="1" customFormat="1" ht="15.95" customHeight="1" x14ac:dyDescent="0.25"/>
    <row r="7674" s="1" customFormat="1" ht="15.95" customHeight="1" x14ac:dyDescent="0.25"/>
    <row r="7675" s="1" customFormat="1" ht="15.95" customHeight="1" x14ac:dyDescent="0.25"/>
    <row r="7676" s="1" customFormat="1" ht="15.95" customHeight="1" x14ac:dyDescent="0.25"/>
    <row r="7677" s="1" customFormat="1" ht="15.95" customHeight="1" x14ac:dyDescent="0.25"/>
    <row r="7678" s="1" customFormat="1" ht="15.95" customHeight="1" x14ac:dyDescent="0.25"/>
    <row r="7679" s="1" customFormat="1" ht="15.95" customHeight="1" x14ac:dyDescent="0.25"/>
    <row r="7680" s="1" customFormat="1" ht="15.95" customHeight="1" x14ac:dyDescent="0.25"/>
    <row r="7681" s="1" customFormat="1" ht="15.95" customHeight="1" x14ac:dyDescent="0.25"/>
    <row r="7682" s="1" customFormat="1" ht="15.95" customHeight="1" x14ac:dyDescent="0.25"/>
    <row r="7683" s="1" customFormat="1" ht="15.95" customHeight="1" x14ac:dyDescent="0.25"/>
    <row r="7684" s="1" customFormat="1" ht="15.95" customHeight="1" x14ac:dyDescent="0.25"/>
    <row r="7685" s="1" customFormat="1" ht="15.95" customHeight="1" x14ac:dyDescent="0.25"/>
    <row r="7686" s="1" customFormat="1" ht="15.95" customHeight="1" x14ac:dyDescent="0.25"/>
    <row r="7687" s="1" customFormat="1" ht="15.95" customHeight="1" x14ac:dyDescent="0.25"/>
    <row r="7688" s="1" customFormat="1" ht="15.95" customHeight="1" x14ac:dyDescent="0.25"/>
    <row r="7689" s="1" customFormat="1" ht="15.95" customHeight="1" x14ac:dyDescent="0.25"/>
    <row r="7690" s="1" customFormat="1" ht="15.95" customHeight="1" x14ac:dyDescent="0.25"/>
    <row r="7691" s="1" customFormat="1" ht="15.95" customHeight="1" x14ac:dyDescent="0.25"/>
    <row r="7692" s="1" customFormat="1" ht="15.95" customHeight="1" x14ac:dyDescent="0.25"/>
    <row r="7693" s="1" customFormat="1" ht="15.95" customHeight="1" x14ac:dyDescent="0.25"/>
    <row r="7694" s="1" customFormat="1" ht="15.95" customHeight="1" x14ac:dyDescent="0.25"/>
    <row r="7695" s="1" customFormat="1" ht="15.95" customHeight="1" x14ac:dyDescent="0.25"/>
    <row r="7696" s="1" customFormat="1" ht="15.95" customHeight="1" x14ac:dyDescent="0.25"/>
    <row r="7697" s="1" customFormat="1" ht="15.95" customHeight="1" x14ac:dyDescent="0.25"/>
    <row r="7698" s="1" customFormat="1" ht="15.95" customHeight="1" x14ac:dyDescent="0.25"/>
    <row r="7699" s="1" customFormat="1" ht="15.95" customHeight="1" x14ac:dyDescent="0.25"/>
    <row r="7700" s="1" customFormat="1" ht="15.95" customHeight="1" x14ac:dyDescent="0.25"/>
    <row r="7701" s="1" customFormat="1" ht="15.95" customHeight="1" x14ac:dyDescent="0.25"/>
    <row r="7702" s="1" customFormat="1" ht="15.95" customHeight="1" x14ac:dyDescent="0.25"/>
    <row r="7703" s="1" customFormat="1" ht="15.95" customHeight="1" x14ac:dyDescent="0.25"/>
    <row r="7704" s="1" customFormat="1" ht="15.95" customHeight="1" x14ac:dyDescent="0.25"/>
    <row r="7705" s="1" customFormat="1" ht="15.95" customHeight="1" x14ac:dyDescent="0.25"/>
    <row r="7706" s="1" customFormat="1" ht="15.95" customHeight="1" x14ac:dyDescent="0.25"/>
    <row r="7707" s="1" customFormat="1" ht="15.95" customHeight="1" x14ac:dyDescent="0.25"/>
    <row r="7708" s="1" customFormat="1" ht="15.95" customHeight="1" x14ac:dyDescent="0.25"/>
    <row r="7709" s="1" customFormat="1" ht="15.95" customHeight="1" x14ac:dyDescent="0.25"/>
    <row r="7710" s="1" customFormat="1" ht="15.95" customHeight="1" x14ac:dyDescent="0.25"/>
    <row r="7711" s="1" customFormat="1" ht="15.95" customHeight="1" x14ac:dyDescent="0.25"/>
    <row r="7712" s="1" customFormat="1" ht="15.95" customHeight="1" x14ac:dyDescent="0.25"/>
    <row r="7713" s="1" customFormat="1" ht="15.95" customHeight="1" x14ac:dyDescent="0.25"/>
    <row r="7714" s="1" customFormat="1" ht="15.95" customHeight="1" x14ac:dyDescent="0.25"/>
    <row r="7715" s="1" customFormat="1" ht="15.95" customHeight="1" x14ac:dyDescent="0.25"/>
    <row r="7716" s="1" customFormat="1" ht="15.95" customHeight="1" x14ac:dyDescent="0.25"/>
    <row r="7717" s="1" customFormat="1" ht="15.95" customHeight="1" x14ac:dyDescent="0.25"/>
    <row r="7718" s="1" customFormat="1" ht="15.95" customHeight="1" x14ac:dyDescent="0.25"/>
    <row r="7719" s="1" customFormat="1" ht="15.95" customHeight="1" x14ac:dyDescent="0.25"/>
    <row r="7720" s="1" customFormat="1" ht="15.95" customHeight="1" x14ac:dyDescent="0.25"/>
    <row r="7721" s="1" customFormat="1" ht="15.95" customHeight="1" x14ac:dyDescent="0.25"/>
    <row r="7722" s="1" customFormat="1" ht="15.95" customHeight="1" x14ac:dyDescent="0.25"/>
    <row r="7723" s="1" customFormat="1" ht="15.95" customHeight="1" x14ac:dyDescent="0.25"/>
    <row r="7724" s="1" customFormat="1" ht="15.95" customHeight="1" x14ac:dyDescent="0.25"/>
    <row r="7725" s="1" customFormat="1" ht="15.95" customHeight="1" x14ac:dyDescent="0.25"/>
    <row r="7726" s="1" customFormat="1" ht="15.95" customHeight="1" x14ac:dyDescent="0.25"/>
    <row r="7727" s="1" customFormat="1" ht="15.95" customHeight="1" x14ac:dyDescent="0.25"/>
    <row r="7728" s="1" customFormat="1" ht="15.95" customHeight="1" x14ac:dyDescent="0.25"/>
    <row r="7729" s="1" customFormat="1" ht="15.95" customHeight="1" x14ac:dyDescent="0.25"/>
    <row r="7730" s="1" customFormat="1" ht="15.95" customHeight="1" x14ac:dyDescent="0.25"/>
    <row r="7731" s="1" customFormat="1" ht="15.95" customHeight="1" x14ac:dyDescent="0.25"/>
    <row r="7732" s="1" customFormat="1" ht="15.95" customHeight="1" x14ac:dyDescent="0.25"/>
    <row r="7733" s="1" customFormat="1" ht="15.95" customHeight="1" x14ac:dyDescent="0.25"/>
    <row r="7734" s="1" customFormat="1" ht="15.95" customHeight="1" x14ac:dyDescent="0.25"/>
    <row r="7735" s="1" customFormat="1" ht="15.95" customHeight="1" x14ac:dyDescent="0.25"/>
    <row r="7736" s="1" customFormat="1" ht="15.95" customHeight="1" x14ac:dyDescent="0.25"/>
    <row r="7737" s="1" customFormat="1" ht="15.95" customHeight="1" x14ac:dyDescent="0.25"/>
    <row r="7738" s="1" customFormat="1" ht="15.95" customHeight="1" x14ac:dyDescent="0.25"/>
    <row r="7739" s="1" customFormat="1" ht="15.95" customHeight="1" x14ac:dyDescent="0.25"/>
    <row r="7740" s="1" customFormat="1" ht="15.95" customHeight="1" x14ac:dyDescent="0.25"/>
    <row r="7741" s="1" customFormat="1" ht="15.95" customHeight="1" x14ac:dyDescent="0.25"/>
    <row r="7742" s="1" customFormat="1" ht="15.95" customHeight="1" x14ac:dyDescent="0.25"/>
    <row r="7743" s="1" customFormat="1" ht="15.95" customHeight="1" x14ac:dyDescent="0.25"/>
    <row r="7744" s="1" customFormat="1" ht="15.95" customHeight="1" x14ac:dyDescent="0.25"/>
    <row r="7745" s="1" customFormat="1" ht="15.95" customHeight="1" x14ac:dyDescent="0.25"/>
    <row r="7746" s="1" customFormat="1" ht="15.95" customHeight="1" x14ac:dyDescent="0.25"/>
    <row r="7747" s="1" customFormat="1" ht="15.95" customHeight="1" x14ac:dyDescent="0.25"/>
    <row r="7748" s="1" customFormat="1" ht="15.95" customHeight="1" x14ac:dyDescent="0.25"/>
    <row r="7749" s="1" customFormat="1" ht="15.95" customHeight="1" x14ac:dyDescent="0.25"/>
    <row r="7750" s="1" customFormat="1" ht="15.95" customHeight="1" x14ac:dyDescent="0.25"/>
    <row r="7751" s="1" customFormat="1" ht="15.95" customHeight="1" x14ac:dyDescent="0.25"/>
    <row r="7752" s="1" customFormat="1" ht="15.95" customHeight="1" x14ac:dyDescent="0.25"/>
    <row r="7753" s="1" customFormat="1" ht="15.95" customHeight="1" x14ac:dyDescent="0.25"/>
    <row r="7754" s="1" customFormat="1" ht="15.95" customHeight="1" x14ac:dyDescent="0.25"/>
    <row r="7755" s="1" customFormat="1" ht="15.95" customHeight="1" x14ac:dyDescent="0.25"/>
    <row r="7756" s="1" customFormat="1" ht="15.95" customHeight="1" x14ac:dyDescent="0.25"/>
    <row r="7757" s="1" customFormat="1" ht="15.95" customHeight="1" x14ac:dyDescent="0.25"/>
    <row r="7758" s="1" customFormat="1" ht="15.95" customHeight="1" x14ac:dyDescent="0.25"/>
    <row r="7759" s="1" customFormat="1" ht="15.95" customHeight="1" x14ac:dyDescent="0.25"/>
    <row r="7760" s="1" customFormat="1" ht="15.95" customHeight="1" x14ac:dyDescent="0.25"/>
    <row r="7761" s="1" customFormat="1" ht="15.95" customHeight="1" x14ac:dyDescent="0.25"/>
    <row r="7762" s="1" customFormat="1" ht="15.95" customHeight="1" x14ac:dyDescent="0.25"/>
    <row r="7763" s="1" customFormat="1" ht="15.95" customHeight="1" x14ac:dyDescent="0.25"/>
    <row r="7764" s="1" customFormat="1" ht="15.95" customHeight="1" x14ac:dyDescent="0.25"/>
    <row r="7765" s="1" customFormat="1" ht="15.95" customHeight="1" x14ac:dyDescent="0.25"/>
    <row r="7766" s="1" customFormat="1" ht="15.95" customHeight="1" x14ac:dyDescent="0.25"/>
    <row r="7767" s="1" customFormat="1" ht="15.95" customHeight="1" x14ac:dyDescent="0.25"/>
    <row r="7768" s="1" customFormat="1" ht="15.95" customHeight="1" x14ac:dyDescent="0.25"/>
    <row r="7769" s="1" customFormat="1" ht="15.95" customHeight="1" x14ac:dyDescent="0.25"/>
    <row r="7770" s="1" customFormat="1" ht="15.95" customHeight="1" x14ac:dyDescent="0.25"/>
    <row r="7771" s="1" customFormat="1" ht="15.95" customHeight="1" x14ac:dyDescent="0.25"/>
    <row r="7772" s="1" customFormat="1" ht="15.95" customHeight="1" x14ac:dyDescent="0.25"/>
    <row r="7773" s="1" customFormat="1" ht="15.95" customHeight="1" x14ac:dyDescent="0.25"/>
    <row r="7774" s="1" customFormat="1" ht="15.95" customHeight="1" x14ac:dyDescent="0.25"/>
    <row r="7775" s="1" customFormat="1" ht="15.95" customHeight="1" x14ac:dyDescent="0.25"/>
    <row r="7776" s="1" customFormat="1" ht="15.95" customHeight="1" x14ac:dyDescent="0.25"/>
    <row r="7777" s="1" customFormat="1" ht="15.95" customHeight="1" x14ac:dyDescent="0.25"/>
    <row r="7778" s="1" customFormat="1" ht="15.95" customHeight="1" x14ac:dyDescent="0.25"/>
    <row r="7779" s="1" customFormat="1" ht="15.95" customHeight="1" x14ac:dyDescent="0.25"/>
    <row r="7780" s="1" customFormat="1" ht="15.95" customHeight="1" x14ac:dyDescent="0.25"/>
    <row r="7781" s="1" customFormat="1" ht="15.95" customHeight="1" x14ac:dyDescent="0.25"/>
    <row r="7782" s="1" customFormat="1" ht="15.95" customHeight="1" x14ac:dyDescent="0.25"/>
    <row r="7783" s="1" customFormat="1" ht="15.95" customHeight="1" x14ac:dyDescent="0.25"/>
    <row r="7784" s="1" customFormat="1" ht="15.95" customHeight="1" x14ac:dyDescent="0.25"/>
    <row r="7785" s="1" customFormat="1" ht="15.95" customHeight="1" x14ac:dyDescent="0.25"/>
    <row r="7786" s="1" customFormat="1" ht="15.95" customHeight="1" x14ac:dyDescent="0.25"/>
    <row r="7787" s="1" customFormat="1" ht="15.95" customHeight="1" x14ac:dyDescent="0.25"/>
    <row r="7788" s="1" customFormat="1" ht="15.95" customHeight="1" x14ac:dyDescent="0.25"/>
    <row r="7789" s="1" customFormat="1" ht="15.95" customHeight="1" x14ac:dyDescent="0.25"/>
    <row r="7790" s="1" customFormat="1" ht="15.95" customHeight="1" x14ac:dyDescent="0.25"/>
    <row r="7791" s="1" customFormat="1" ht="15.95" customHeight="1" x14ac:dyDescent="0.25"/>
    <row r="7792" s="1" customFormat="1" ht="15.95" customHeight="1" x14ac:dyDescent="0.25"/>
    <row r="7793" s="1" customFormat="1" ht="15.95" customHeight="1" x14ac:dyDescent="0.25"/>
    <row r="7794" s="1" customFormat="1" ht="15.95" customHeight="1" x14ac:dyDescent="0.25"/>
    <row r="7795" s="1" customFormat="1" ht="15.95" customHeight="1" x14ac:dyDescent="0.25"/>
    <row r="7796" s="1" customFormat="1" ht="15.95" customHeight="1" x14ac:dyDescent="0.25"/>
    <row r="7797" s="1" customFormat="1" ht="15.95" customHeight="1" x14ac:dyDescent="0.25"/>
    <row r="7798" s="1" customFormat="1" ht="15.95" customHeight="1" x14ac:dyDescent="0.25"/>
    <row r="7799" s="1" customFormat="1" ht="15.95" customHeight="1" x14ac:dyDescent="0.25"/>
    <row r="7800" s="1" customFormat="1" ht="15.95" customHeight="1" x14ac:dyDescent="0.25"/>
    <row r="7801" s="1" customFormat="1" ht="15.95" customHeight="1" x14ac:dyDescent="0.25"/>
    <row r="7802" s="1" customFormat="1" ht="15.95" customHeight="1" x14ac:dyDescent="0.25"/>
    <row r="7803" s="1" customFormat="1" ht="15.95" customHeight="1" x14ac:dyDescent="0.25"/>
    <row r="7804" s="1" customFormat="1" ht="15.95" customHeight="1" x14ac:dyDescent="0.25"/>
    <row r="7805" s="1" customFormat="1" ht="15.95" customHeight="1" x14ac:dyDescent="0.25"/>
    <row r="7806" s="1" customFormat="1" ht="15.95" customHeight="1" x14ac:dyDescent="0.25"/>
    <row r="7807" s="1" customFormat="1" ht="15.95" customHeight="1" x14ac:dyDescent="0.25"/>
    <row r="7808" s="1" customFormat="1" ht="15.95" customHeight="1" x14ac:dyDescent="0.25"/>
    <row r="7809" s="1" customFormat="1" ht="15.95" customHeight="1" x14ac:dyDescent="0.25"/>
    <row r="7810" s="1" customFormat="1" ht="15.95" customHeight="1" x14ac:dyDescent="0.25"/>
    <row r="7811" s="1" customFormat="1" ht="15.95" customHeight="1" x14ac:dyDescent="0.25"/>
    <row r="7812" s="1" customFormat="1" ht="15.95" customHeight="1" x14ac:dyDescent="0.25"/>
    <row r="7813" s="1" customFormat="1" ht="15.95" customHeight="1" x14ac:dyDescent="0.25"/>
    <row r="7814" s="1" customFormat="1" ht="15.95" customHeight="1" x14ac:dyDescent="0.25"/>
    <row r="7815" s="1" customFormat="1" ht="15.95" customHeight="1" x14ac:dyDescent="0.25"/>
    <row r="7816" s="1" customFormat="1" ht="15.95" customHeight="1" x14ac:dyDescent="0.25"/>
    <row r="7817" s="1" customFormat="1" ht="15.95" customHeight="1" x14ac:dyDescent="0.25"/>
    <row r="7818" s="1" customFormat="1" ht="15.95" customHeight="1" x14ac:dyDescent="0.25"/>
    <row r="7819" s="1" customFormat="1" ht="15.95" customHeight="1" x14ac:dyDescent="0.25"/>
    <row r="7820" s="1" customFormat="1" ht="15.95" customHeight="1" x14ac:dyDescent="0.25"/>
    <row r="7821" s="1" customFormat="1" ht="15.95" customHeight="1" x14ac:dyDescent="0.25"/>
    <row r="7822" s="1" customFormat="1" ht="15.95" customHeight="1" x14ac:dyDescent="0.25"/>
    <row r="7823" s="1" customFormat="1" ht="15.95" customHeight="1" x14ac:dyDescent="0.25"/>
    <row r="7824" s="1" customFormat="1" ht="15.95" customHeight="1" x14ac:dyDescent="0.25"/>
    <row r="7825" s="1" customFormat="1" ht="15.95" customHeight="1" x14ac:dyDescent="0.25"/>
    <row r="7826" s="1" customFormat="1" ht="15.95" customHeight="1" x14ac:dyDescent="0.25"/>
    <row r="7827" s="1" customFormat="1" ht="15.95" customHeight="1" x14ac:dyDescent="0.25"/>
    <row r="7828" s="1" customFormat="1" ht="15.95" customHeight="1" x14ac:dyDescent="0.25"/>
    <row r="7829" s="1" customFormat="1" ht="15.95" customHeight="1" x14ac:dyDescent="0.25"/>
    <row r="7830" s="1" customFormat="1" ht="15.95" customHeight="1" x14ac:dyDescent="0.25"/>
    <row r="7831" s="1" customFormat="1" ht="15.95" customHeight="1" x14ac:dyDescent="0.25"/>
    <row r="7832" s="1" customFormat="1" ht="15.95" customHeight="1" x14ac:dyDescent="0.25"/>
    <row r="7833" s="1" customFormat="1" ht="15.95" customHeight="1" x14ac:dyDescent="0.25"/>
    <row r="7834" s="1" customFormat="1" ht="15.95" customHeight="1" x14ac:dyDescent="0.25"/>
    <row r="7835" s="1" customFormat="1" ht="15.95" customHeight="1" x14ac:dyDescent="0.25"/>
    <row r="7836" s="1" customFormat="1" ht="15.95" customHeight="1" x14ac:dyDescent="0.25"/>
    <row r="7837" s="1" customFormat="1" ht="15.95" customHeight="1" x14ac:dyDescent="0.25"/>
    <row r="7838" s="1" customFormat="1" ht="15.95" customHeight="1" x14ac:dyDescent="0.25"/>
    <row r="7839" s="1" customFormat="1" ht="15.95" customHeight="1" x14ac:dyDescent="0.25"/>
    <row r="7840" s="1" customFormat="1" ht="15.95" customHeight="1" x14ac:dyDescent="0.25"/>
    <row r="7841" s="1" customFormat="1" ht="15.95" customHeight="1" x14ac:dyDescent="0.25"/>
    <row r="7842" s="1" customFormat="1" ht="15.95" customHeight="1" x14ac:dyDescent="0.25"/>
    <row r="7843" s="1" customFormat="1" ht="15.95" customHeight="1" x14ac:dyDescent="0.25"/>
    <row r="7844" s="1" customFormat="1" ht="15.95" customHeight="1" x14ac:dyDescent="0.25"/>
    <row r="7845" s="1" customFormat="1" ht="15.95" customHeight="1" x14ac:dyDescent="0.25"/>
    <row r="7846" s="1" customFormat="1" ht="15.95" customHeight="1" x14ac:dyDescent="0.25"/>
    <row r="7847" s="1" customFormat="1" ht="15.95" customHeight="1" x14ac:dyDescent="0.25"/>
    <row r="7848" s="1" customFormat="1" ht="15.95" customHeight="1" x14ac:dyDescent="0.25"/>
    <row r="7849" s="1" customFormat="1" ht="15.95" customHeight="1" x14ac:dyDescent="0.25"/>
    <row r="7850" s="1" customFormat="1" ht="15.95" customHeight="1" x14ac:dyDescent="0.25"/>
    <row r="7851" s="1" customFormat="1" ht="15.95" customHeight="1" x14ac:dyDescent="0.25"/>
    <row r="7852" s="1" customFormat="1" ht="15.95" customHeight="1" x14ac:dyDescent="0.25"/>
    <row r="7853" s="1" customFormat="1" ht="15.95" customHeight="1" x14ac:dyDescent="0.25"/>
    <row r="7854" s="1" customFormat="1" ht="15.95" customHeight="1" x14ac:dyDescent="0.25"/>
    <row r="7855" s="1" customFormat="1" ht="15.95" customHeight="1" x14ac:dyDescent="0.25"/>
    <row r="7856" s="1" customFormat="1" ht="15.95" customHeight="1" x14ac:dyDescent="0.25"/>
    <row r="7857" s="1" customFormat="1" ht="15.95" customHeight="1" x14ac:dyDescent="0.25"/>
    <row r="7858" s="1" customFormat="1" ht="15.95" customHeight="1" x14ac:dyDescent="0.25"/>
    <row r="7859" s="1" customFormat="1" ht="15.95" customHeight="1" x14ac:dyDescent="0.25"/>
    <row r="7860" s="1" customFormat="1" ht="15.95" customHeight="1" x14ac:dyDescent="0.25"/>
    <row r="7861" s="1" customFormat="1" ht="15.95" customHeight="1" x14ac:dyDescent="0.25"/>
    <row r="7862" s="1" customFormat="1" ht="15.95" customHeight="1" x14ac:dyDescent="0.25"/>
    <row r="7863" s="1" customFormat="1" ht="15.95" customHeight="1" x14ac:dyDescent="0.25"/>
    <row r="7864" s="1" customFormat="1" ht="15.95" customHeight="1" x14ac:dyDescent="0.25"/>
    <row r="7865" s="1" customFormat="1" ht="15.95" customHeight="1" x14ac:dyDescent="0.25"/>
    <row r="7866" s="1" customFormat="1" ht="15.95" customHeight="1" x14ac:dyDescent="0.25"/>
    <row r="7867" s="1" customFormat="1" ht="15.95" customHeight="1" x14ac:dyDescent="0.25"/>
    <row r="7868" s="1" customFormat="1" ht="15.95" customHeight="1" x14ac:dyDescent="0.25"/>
    <row r="7869" s="1" customFormat="1" ht="15.95" customHeight="1" x14ac:dyDescent="0.25"/>
    <row r="7870" s="1" customFormat="1" ht="15.95" customHeight="1" x14ac:dyDescent="0.25"/>
    <row r="7871" s="1" customFormat="1" ht="15.95" customHeight="1" x14ac:dyDescent="0.25"/>
    <row r="7872" s="1" customFormat="1" ht="15.95" customHeight="1" x14ac:dyDescent="0.25"/>
    <row r="7873" s="1" customFormat="1" ht="15.95" customHeight="1" x14ac:dyDescent="0.25"/>
    <row r="7874" s="1" customFormat="1" ht="15.95" customHeight="1" x14ac:dyDescent="0.25"/>
    <row r="7875" s="1" customFormat="1" ht="15.95" customHeight="1" x14ac:dyDescent="0.25"/>
    <row r="7876" s="1" customFormat="1" ht="15.95" customHeight="1" x14ac:dyDescent="0.25"/>
    <row r="7877" s="1" customFormat="1" ht="15.95" customHeight="1" x14ac:dyDescent="0.25"/>
    <row r="7878" s="1" customFormat="1" ht="15.95" customHeight="1" x14ac:dyDescent="0.25"/>
    <row r="7879" s="1" customFormat="1" ht="15.95" customHeight="1" x14ac:dyDescent="0.25"/>
    <row r="7880" s="1" customFormat="1" ht="15.95" customHeight="1" x14ac:dyDescent="0.25"/>
    <row r="7881" s="1" customFormat="1" ht="15.95" customHeight="1" x14ac:dyDescent="0.25"/>
    <row r="7882" s="1" customFormat="1" ht="15.95" customHeight="1" x14ac:dyDescent="0.25"/>
    <row r="7883" s="1" customFormat="1" ht="15.95" customHeight="1" x14ac:dyDescent="0.25"/>
    <row r="7884" s="1" customFormat="1" ht="15.95" customHeight="1" x14ac:dyDescent="0.25"/>
    <row r="7885" s="1" customFormat="1" ht="15.95" customHeight="1" x14ac:dyDescent="0.25"/>
    <row r="7886" s="1" customFormat="1" ht="15.95" customHeight="1" x14ac:dyDescent="0.25"/>
    <row r="7887" s="1" customFormat="1" ht="15.95" customHeight="1" x14ac:dyDescent="0.25"/>
    <row r="7888" s="1" customFormat="1" ht="15.95" customHeight="1" x14ac:dyDescent="0.25"/>
    <row r="7889" s="1" customFormat="1" ht="15.95" customHeight="1" x14ac:dyDescent="0.25"/>
    <row r="7890" s="1" customFormat="1" ht="15.95" customHeight="1" x14ac:dyDescent="0.25"/>
    <row r="7891" s="1" customFormat="1" ht="15.95" customHeight="1" x14ac:dyDescent="0.25"/>
    <row r="7892" s="1" customFormat="1" ht="15.95" customHeight="1" x14ac:dyDescent="0.25"/>
    <row r="7893" s="1" customFormat="1" ht="15.95" customHeight="1" x14ac:dyDescent="0.25"/>
    <row r="7894" s="1" customFormat="1" ht="15.95" customHeight="1" x14ac:dyDescent="0.25"/>
    <row r="7895" s="1" customFormat="1" ht="15.95" customHeight="1" x14ac:dyDescent="0.25"/>
    <row r="7896" s="1" customFormat="1" ht="15.95" customHeight="1" x14ac:dyDescent="0.25"/>
    <row r="7897" s="1" customFormat="1" ht="15.95" customHeight="1" x14ac:dyDescent="0.25"/>
    <row r="7898" s="1" customFormat="1" ht="15.95" customHeight="1" x14ac:dyDescent="0.25"/>
    <row r="7899" s="1" customFormat="1" ht="15.95" customHeight="1" x14ac:dyDescent="0.25"/>
    <row r="7900" s="1" customFormat="1" ht="15.95" customHeight="1" x14ac:dyDescent="0.25"/>
    <row r="7901" s="1" customFormat="1" ht="15.95" customHeight="1" x14ac:dyDescent="0.25"/>
    <row r="7902" s="1" customFormat="1" ht="15.95" customHeight="1" x14ac:dyDescent="0.25"/>
    <row r="7903" s="1" customFormat="1" ht="15.95" customHeight="1" x14ac:dyDescent="0.25"/>
    <row r="7904" s="1" customFormat="1" ht="15.95" customHeight="1" x14ac:dyDescent="0.25"/>
    <row r="7905" s="1" customFormat="1" ht="15.95" customHeight="1" x14ac:dyDescent="0.25"/>
    <row r="7906" s="1" customFormat="1" ht="15.95" customHeight="1" x14ac:dyDescent="0.25"/>
    <row r="7907" s="1" customFormat="1" ht="15.95" customHeight="1" x14ac:dyDescent="0.25"/>
    <row r="7908" s="1" customFormat="1" ht="15.95" customHeight="1" x14ac:dyDescent="0.25"/>
    <row r="7909" s="1" customFormat="1" ht="15.95" customHeight="1" x14ac:dyDescent="0.25"/>
    <row r="7910" s="1" customFormat="1" ht="15.95" customHeight="1" x14ac:dyDescent="0.25"/>
    <row r="7911" s="1" customFormat="1" ht="15.95" customHeight="1" x14ac:dyDescent="0.25"/>
    <row r="7912" s="1" customFormat="1" ht="15.95" customHeight="1" x14ac:dyDescent="0.25"/>
    <row r="7913" s="1" customFormat="1" ht="15.95" customHeight="1" x14ac:dyDescent="0.25"/>
    <row r="7914" s="1" customFormat="1" ht="15.95" customHeight="1" x14ac:dyDescent="0.25"/>
    <row r="7915" s="1" customFormat="1" ht="15.95" customHeight="1" x14ac:dyDescent="0.25"/>
    <row r="7916" s="1" customFormat="1" ht="15.95" customHeight="1" x14ac:dyDescent="0.25"/>
    <row r="7917" s="1" customFormat="1" ht="15.95" customHeight="1" x14ac:dyDescent="0.25"/>
    <row r="7918" s="1" customFormat="1" ht="15.95" customHeight="1" x14ac:dyDescent="0.25"/>
    <row r="7919" s="1" customFormat="1" ht="15.95" customHeight="1" x14ac:dyDescent="0.25"/>
    <row r="7920" s="1" customFormat="1" ht="15.95" customHeight="1" x14ac:dyDescent="0.25"/>
    <row r="7921" s="1" customFormat="1" ht="15.95" customHeight="1" x14ac:dyDescent="0.25"/>
    <row r="7922" s="1" customFormat="1" ht="15.95" customHeight="1" x14ac:dyDescent="0.25"/>
    <row r="7923" s="1" customFormat="1" ht="15.95" customHeight="1" x14ac:dyDescent="0.25"/>
    <row r="7924" s="1" customFormat="1" ht="15.95" customHeight="1" x14ac:dyDescent="0.25"/>
    <row r="7925" s="1" customFormat="1" ht="15.95" customHeight="1" x14ac:dyDescent="0.25"/>
    <row r="7926" s="1" customFormat="1" ht="15.95" customHeight="1" x14ac:dyDescent="0.25"/>
    <row r="7927" s="1" customFormat="1" ht="15.95" customHeight="1" x14ac:dyDescent="0.25"/>
    <row r="7928" s="1" customFormat="1" ht="15.95" customHeight="1" x14ac:dyDescent="0.25"/>
    <row r="7929" s="1" customFormat="1" ht="15.95" customHeight="1" x14ac:dyDescent="0.25"/>
    <row r="7930" s="1" customFormat="1" ht="15.95" customHeight="1" x14ac:dyDescent="0.25"/>
    <row r="7931" s="1" customFormat="1" ht="15.95" customHeight="1" x14ac:dyDescent="0.25"/>
    <row r="7932" s="1" customFormat="1" ht="15.95" customHeight="1" x14ac:dyDescent="0.25"/>
    <row r="7933" s="1" customFormat="1" ht="15.95" customHeight="1" x14ac:dyDescent="0.25"/>
    <row r="7934" s="1" customFormat="1" ht="15.95" customHeight="1" x14ac:dyDescent="0.25"/>
    <row r="7935" s="1" customFormat="1" ht="15.95" customHeight="1" x14ac:dyDescent="0.25"/>
    <row r="7936" s="1" customFormat="1" ht="15.95" customHeight="1" x14ac:dyDescent="0.25"/>
    <row r="7937" s="1" customFormat="1" ht="15.95" customHeight="1" x14ac:dyDescent="0.25"/>
    <row r="7938" s="1" customFormat="1" ht="15.95" customHeight="1" x14ac:dyDescent="0.25"/>
    <row r="7939" s="1" customFormat="1" ht="15.95" customHeight="1" x14ac:dyDescent="0.25"/>
    <row r="7940" s="1" customFormat="1" ht="15.95" customHeight="1" x14ac:dyDescent="0.25"/>
    <row r="7941" s="1" customFormat="1" ht="15.95" customHeight="1" x14ac:dyDescent="0.25"/>
    <row r="7942" s="1" customFormat="1" ht="15.95" customHeight="1" x14ac:dyDescent="0.25"/>
    <row r="7943" s="1" customFormat="1" ht="15.95" customHeight="1" x14ac:dyDescent="0.25"/>
    <row r="7944" s="1" customFormat="1" ht="15.95" customHeight="1" x14ac:dyDescent="0.25"/>
    <row r="7945" s="1" customFormat="1" ht="15.95" customHeight="1" x14ac:dyDescent="0.25"/>
    <row r="7946" s="1" customFormat="1" ht="15.95" customHeight="1" x14ac:dyDescent="0.25"/>
    <row r="7947" s="1" customFormat="1" ht="15.95" customHeight="1" x14ac:dyDescent="0.25"/>
    <row r="7948" s="1" customFormat="1" ht="15.95" customHeight="1" x14ac:dyDescent="0.25"/>
    <row r="7949" s="1" customFormat="1" ht="15.95" customHeight="1" x14ac:dyDescent="0.25"/>
    <row r="7950" s="1" customFormat="1" ht="15.95" customHeight="1" x14ac:dyDescent="0.25"/>
    <row r="7951" s="1" customFormat="1" ht="15.95" customHeight="1" x14ac:dyDescent="0.25"/>
    <row r="7952" s="1" customFormat="1" ht="15.95" customHeight="1" x14ac:dyDescent="0.25"/>
    <row r="7953" s="1" customFormat="1" ht="15.95" customHeight="1" x14ac:dyDescent="0.25"/>
    <row r="7954" s="1" customFormat="1" ht="15.95" customHeight="1" x14ac:dyDescent="0.25"/>
    <row r="7955" s="1" customFormat="1" ht="15.95" customHeight="1" x14ac:dyDescent="0.25"/>
    <row r="7956" s="1" customFormat="1" ht="15.95" customHeight="1" x14ac:dyDescent="0.25"/>
    <row r="7957" s="1" customFormat="1" ht="15.95" customHeight="1" x14ac:dyDescent="0.25"/>
    <row r="7958" s="1" customFormat="1" ht="15.95" customHeight="1" x14ac:dyDescent="0.25"/>
    <row r="7959" s="1" customFormat="1" ht="15.95" customHeight="1" x14ac:dyDescent="0.25"/>
    <row r="7960" s="1" customFormat="1" ht="15.95" customHeight="1" x14ac:dyDescent="0.25"/>
    <row r="7961" s="1" customFormat="1" ht="15.95" customHeight="1" x14ac:dyDescent="0.25"/>
    <row r="7962" s="1" customFormat="1" ht="15.95" customHeight="1" x14ac:dyDescent="0.25"/>
    <row r="7963" s="1" customFormat="1" ht="15.95" customHeight="1" x14ac:dyDescent="0.25"/>
    <row r="7964" s="1" customFormat="1" ht="15.95" customHeight="1" x14ac:dyDescent="0.25"/>
    <row r="7965" s="1" customFormat="1" ht="15.95" customHeight="1" x14ac:dyDescent="0.25"/>
    <row r="7966" s="1" customFormat="1" ht="15.95" customHeight="1" x14ac:dyDescent="0.25"/>
    <row r="7967" s="1" customFormat="1" ht="15.95" customHeight="1" x14ac:dyDescent="0.25"/>
    <row r="7968" s="1" customFormat="1" ht="15.95" customHeight="1" x14ac:dyDescent="0.25"/>
    <row r="7969" s="1" customFormat="1" ht="15.95" customHeight="1" x14ac:dyDescent="0.25"/>
    <row r="7970" s="1" customFormat="1" ht="15.95" customHeight="1" x14ac:dyDescent="0.25"/>
    <row r="7971" s="1" customFormat="1" ht="15.95" customHeight="1" x14ac:dyDescent="0.25"/>
    <row r="7972" s="1" customFormat="1" ht="15.95" customHeight="1" x14ac:dyDescent="0.25"/>
    <row r="7973" s="1" customFormat="1" ht="15.95" customHeight="1" x14ac:dyDescent="0.25"/>
    <row r="7974" s="1" customFormat="1" ht="15.95" customHeight="1" x14ac:dyDescent="0.25"/>
    <row r="7975" s="1" customFormat="1" ht="15.95" customHeight="1" x14ac:dyDescent="0.25"/>
    <row r="7976" s="1" customFormat="1" ht="15.95" customHeight="1" x14ac:dyDescent="0.25"/>
    <row r="7977" s="1" customFormat="1" ht="15.95" customHeight="1" x14ac:dyDescent="0.25"/>
    <row r="7978" s="1" customFormat="1" ht="15.95" customHeight="1" x14ac:dyDescent="0.25"/>
    <row r="7979" s="1" customFormat="1" ht="15.95" customHeight="1" x14ac:dyDescent="0.25"/>
    <row r="7980" s="1" customFormat="1" ht="15.95" customHeight="1" x14ac:dyDescent="0.25"/>
    <row r="7981" s="1" customFormat="1" ht="15.95" customHeight="1" x14ac:dyDescent="0.25"/>
    <row r="7982" s="1" customFormat="1" ht="15.95" customHeight="1" x14ac:dyDescent="0.25"/>
    <row r="7983" s="1" customFormat="1" ht="15.95" customHeight="1" x14ac:dyDescent="0.25"/>
    <row r="7984" s="1" customFormat="1" ht="15.95" customHeight="1" x14ac:dyDescent="0.25"/>
    <row r="7985" s="1" customFormat="1" ht="15.95" customHeight="1" x14ac:dyDescent="0.25"/>
    <row r="7986" s="1" customFormat="1" ht="15.95" customHeight="1" x14ac:dyDescent="0.25"/>
    <row r="7987" s="1" customFormat="1" ht="15.95" customHeight="1" x14ac:dyDescent="0.25"/>
    <row r="7988" s="1" customFormat="1" ht="15.95" customHeight="1" x14ac:dyDescent="0.25"/>
    <row r="7989" s="1" customFormat="1" ht="15.95" customHeight="1" x14ac:dyDescent="0.25"/>
    <row r="7990" s="1" customFormat="1" ht="15.95" customHeight="1" x14ac:dyDescent="0.25"/>
    <row r="7991" s="1" customFormat="1" ht="15.95" customHeight="1" x14ac:dyDescent="0.25"/>
    <row r="7992" s="1" customFormat="1" ht="15.95" customHeight="1" x14ac:dyDescent="0.25"/>
    <row r="7993" s="1" customFormat="1" ht="15.95" customHeight="1" x14ac:dyDescent="0.25"/>
    <row r="7994" s="1" customFormat="1" ht="15.95" customHeight="1" x14ac:dyDescent="0.25"/>
    <row r="7995" s="1" customFormat="1" ht="15.95" customHeight="1" x14ac:dyDescent="0.25"/>
    <row r="7996" s="1" customFormat="1" ht="15.95" customHeight="1" x14ac:dyDescent="0.25"/>
    <row r="7997" s="1" customFormat="1" ht="15.95" customHeight="1" x14ac:dyDescent="0.25"/>
    <row r="7998" s="1" customFormat="1" ht="15.95" customHeight="1" x14ac:dyDescent="0.25"/>
    <row r="7999" s="1" customFormat="1" ht="15.95" customHeight="1" x14ac:dyDescent="0.25"/>
    <row r="8000" s="1" customFormat="1" ht="15.95" customHeight="1" x14ac:dyDescent="0.25"/>
    <row r="8001" s="1" customFormat="1" ht="15.95" customHeight="1" x14ac:dyDescent="0.25"/>
    <row r="8002" s="1" customFormat="1" ht="15.95" customHeight="1" x14ac:dyDescent="0.25"/>
    <row r="8003" s="1" customFormat="1" ht="15.95" customHeight="1" x14ac:dyDescent="0.25"/>
    <row r="8004" s="1" customFormat="1" ht="15.95" customHeight="1" x14ac:dyDescent="0.25"/>
    <row r="8005" s="1" customFormat="1" ht="15.95" customHeight="1" x14ac:dyDescent="0.25"/>
    <row r="8006" s="1" customFormat="1" ht="15.95" customHeight="1" x14ac:dyDescent="0.25"/>
    <row r="8007" s="1" customFormat="1" ht="15.95" customHeight="1" x14ac:dyDescent="0.25"/>
    <row r="8008" s="1" customFormat="1" ht="15.95" customHeight="1" x14ac:dyDescent="0.25"/>
    <row r="8009" s="1" customFormat="1" ht="15.95" customHeight="1" x14ac:dyDescent="0.25"/>
    <row r="8010" s="1" customFormat="1" ht="15.95" customHeight="1" x14ac:dyDescent="0.25"/>
    <row r="8011" s="1" customFormat="1" ht="15.95" customHeight="1" x14ac:dyDescent="0.25"/>
    <row r="8012" s="1" customFormat="1" ht="15.95" customHeight="1" x14ac:dyDescent="0.25"/>
    <row r="8013" s="1" customFormat="1" ht="15.95" customHeight="1" x14ac:dyDescent="0.25"/>
    <row r="8014" s="1" customFormat="1" ht="15.95" customHeight="1" x14ac:dyDescent="0.25"/>
    <row r="8015" s="1" customFormat="1" ht="15.95" customHeight="1" x14ac:dyDescent="0.25"/>
    <row r="8016" s="1" customFormat="1" ht="15.95" customHeight="1" x14ac:dyDescent="0.25"/>
    <row r="8017" s="1" customFormat="1" ht="15.95" customHeight="1" x14ac:dyDescent="0.25"/>
    <row r="8018" s="1" customFormat="1" ht="15.95" customHeight="1" x14ac:dyDescent="0.25"/>
    <row r="8019" s="1" customFormat="1" ht="15.95" customHeight="1" x14ac:dyDescent="0.25"/>
    <row r="8020" s="1" customFormat="1" ht="15.95" customHeight="1" x14ac:dyDescent="0.25"/>
    <row r="8021" s="1" customFormat="1" ht="15.95" customHeight="1" x14ac:dyDescent="0.25"/>
    <row r="8022" s="1" customFormat="1" ht="15.95" customHeight="1" x14ac:dyDescent="0.25"/>
    <row r="8023" s="1" customFormat="1" ht="15.95" customHeight="1" x14ac:dyDescent="0.25"/>
    <row r="8024" s="1" customFormat="1" ht="15.95" customHeight="1" x14ac:dyDescent="0.25"/>
    <row r="8025" s="1" customFormat="1" ht="15.95" customHeight="1" x14ac:dyDescent="0.25"/>
    <row r="8026" s="1" customFormat="1" ht="15.95" customHeight="1" x14ac:dyDescent="0.25"/>
    <row r="8027" s="1" customFormat="1" ht="15.95" customHeight="1" x14ac:dyDescent="0.25"/>
    <row r="8028" s="1" customFormat="1" ht="15.95" customHeight="1" x14ac:dyDescent="0.25"/>
    <row r="8029" s="1" customFormat="1" ht="15.95" customHeight="1" x14ac:dyDescent="0.25"/>
    <row r="8030" s="1" customFormat="1" ht="15.95" customHeight="1" x14ac:dyDescent="0.25"/>
    <row r="8031" s="1" customFormat="1" ht="15.95" customHeight="1" x14ac:dyDescent="0.25"/>
    <row r="8032" s="1" customFormat="1" ht="15.95" customHeight="1" x14ac:dyDescent="0.25"/>
    <row r="8033" s="1" customFormat="1" ht="15.95" customHeight="1" x14ac:dyDescent="0.25"/>
    <row r="8034" s="1" customFormat="1" ht="15.95" customHeight="1" x14ac:dyDescent="0.25"/>
    <row r="8035" s="1" customFormat="1" ht="15.95" customHeight="1" x14ac:dyDescent="0.25"/>
    <row r="8036" s="1" customFormat="1" ht="15.95" customHeight="1" x14ac:dyDescent="0.25"/>
    <row r="8037" s="1" customFormat="1" ht="15.95" customHeight="1" x14ac:dyDescent="0.25"/>
    <row r="8038" s="1" customFormat="1" ht="15.95" customHeight="1" x14ac:dyDescent="0.25"/>
    <row r="8039" s="1" customFormat="1" ht="15.95" customHeight="1" x14ac:dyDescent="0.25"/>
    <row r="8040" s="1" customFormat="1" ht="15.95" customHeight="1" x14ac:dyDescent="0.25"/>
    <row r="8041" s="1" customFormat="1" ht="15.95" customHeight="1" x14ac:dyDescent="0.25"/>
    <row r="8042" s="1" customFormat="1" ht="15.95" customHeight="1" x14ac:dyDescent="0.25"/>
    <row r="8043" s="1" customFormat="1" ht="15.95" customHeight="1" x14ac:dyDescent="0.25"/>
    <row r="8044" s="1" customFormat="1" ht="15.95" customHeight="1" x14ac:dyDescent="0.25"/>
    <row r="8045" s="1" customFormat="1" ht="15.95" customHeight="1" x14ac:dyDescent="0.25"/>
    <row r="8046" s="1" customFormat="1" ht="15.95" customHeight="1" x14ac:dyDescent="0.25"/>
    <row r="8047" s="1" customFormat="1" ht="15.95" customHeight="1" x14ac:dyDescent="0.25"/>
    <row r="8048" s="1" customFormat="1" ht="15.95" customHeight="1" x14ac:dyDescent="0.25"/>
    <row r="8049" s="1" customFormat="1" ht="15.95" customHeight="1" x14ac:dyDescent="0.25"/>
    <row r="8050" s="1" customFormat="1" ht="15.95" customHeight="1" x14ac:dyDescent="0.25"/>
    <row r="8051" s="1" customFormat="1" ht="15.95" customHeight="1" x14ac:dyDescent="0.25"/>
    <row r="8052" s="1" customFormat="1" ht="15.95" customHeight="1" x14ac:dyDescent="0.25"/>
    <row r="8053" s="1" customFormat="1" ht="15.95" customHeight="1" x14ac:dyDescent="0.25"/>
    <row r="8054" s="1" customFormat="1" ht="15.95" customHeight="1" x14ac:dyDescent="0.25"/>
    <row r="8055" s="1" customFormat="1" ht="15.95" customHeight="1" x14ac:dyDescent="0.25"/>
    <row r="8056" s="1" customFormat="1" ht="15.95" customHeight="1" x14ac:dyDescent="0.25"/>
    <row r="8057" s="1" customFormat="1" ht="15.95" customHeight="1" x14ac:dyDescent="0.25"/>
    <row r="8058" s="1" customFormat="1" ht="15.95" customHeight="1" x14ac:dyDescent="0.25"/>
    <row r="8059" s="1" customFormat="1" ht="15.95" customHeight="1" x14ac:dyDescent="0.25"/>
    <row r="8060" s="1" customFormat="1" ht="15.95" customHeight="1" x14ac:dyDescent="0.25"/>
    <row r="8061" s="1" customFormat="1" ht="15.95" customHeight="1" x14ac:dyDescent="0.25"/>
    <row r="8062" s="1" customFormat="1" ht="15.95" customHeight="1" x14ac:dyDescent="0.25"/>
    <row r="8063" s="1" customFormat="1" ht="15.95" customHeight="1" x14ac:dyDescent="0.25"/>
    <row r="8064" s="1" customFormat="1" ht="15.95" customHeight="1" x14ac:dyDescent="0.25"/>
    <row r="8065" s="1" customFormat="1" ht="15.95" customHeight="1" x14ac:dyDescent="0.25"/>
    <row r="8066" s="1" customFormat="1" ht="15.95" customHeight="1" x14ac:dyDescent="0.25"/>
    <row r="8067" s="1" customFormat="1" ht="15.95" customHeight="1" x14ac:dyDescent="0.25"/>
    <row r="8068" s="1" customFormat="1" ht="15.95" customHeight="1" x14ac:dyDescent="0.25"/>
    <row r="8069" s="1" customFormat="1" ht="15.95" customHeight="1" x14ac:dyDescent="0.25"/>
    <row r="8070" s="1" customFormat="1" ht="15.95" customHeight="1" x14ac:dyDescent="0.25"/>
    <row r="8071" s="1" customFormat="1" ht="15.95" customHeight="1" x14ac:dyDescent="0.25"/>
    <row r="8072" s="1" customFormat="1" ht="15.95" customHeight="1" x14ac:dyDescent="0.25"/>
    <row r="8073" s="1" customFormat="1" ht="15.95" customHeight="1" x14ac:dyDescent="0.25"/>
    <row r="8074" s="1" customFormat="1" ht="15.95" customHeight="1" x14ac:dyDescent="0.25"/>
    <row r="8075" s="1" customFormat="1" ht="15.95" customHeight="1" x14ac:dyDescent="0.25"/>
    <row r="8076" s="1" customFormat="1" ht="15.95" customHeight="1" x14ac:dyDescent="0.25"/>
    <row r="8077" s="1" customFormat="1" ht="15.95" customHeight="1" x14ac:dyDescent="0.25"/>
    <row r="8078" s="1" customFormat="1" ht="15.95" customHeight="1" x14ac:dyDescent="0.25"/>
    <row r="8079" s="1" customFormat="1" ht="15.95" customHeight="1" x14ac:dyDescent="0.25"/>
    <row r="8080" s="1" customFormat="1" ht="15.95" customHeight="1" x14ac:dyDescent="0.25"/>
    <row r="8081" s="1" customFormat="1" ht="15.95" customHeight="1" x14ac:dyDescent="0.25"/>
    <row r="8082" s="1" customFormat="1" ht="15.95" customHeight="1" x14ac:dyDescent="0.25"/>
    <row r="8083" s="1" customFormat="1" ht="15.95" customHeight="1" x14ac:dyDescent="0.25"/>
    <row r="8084" s="1" customFormat="1" ht="15.95" customHeight="1" x14ac:dyDescent="0.25"/>
    <row r="8085" s="1" customFormat="1" ht="15.95" customHeight="1" x14ac:dyDescent="0.25"/>
    <row r="8086" s="1" customFormat="1" ht="15.95" customHeight="1" x14ac:dyDescent="0.25"/>
    <row r="8087" s="1" customFormat="1" ht="15.95" customHeight="1" x14ac:dyDescent="0.25"/>
    <row r="8088" s="1" customFormat="1" ht="15.95" customHeight="1" x14ac:dyDescent="0.25"/>
    <row r="8089" s="1" customFormat="1" ht="15.95" customHeight="1" x14ac:dyDescent="0.25"/>
    <row r="8090" s="1" customFormat="1" ht="15.95" customHeight="1" x14ac:dyDescent="0.25"/>
    <row r="8091" s="1" customFormat="1" ht="15.95" customHeight="1" x14ac:dyDescent="0.25"/>
    <row r="8092" s="1" customFormat="1" ht="15.95" customHeight="1" x14ac:dyDescent="0.25"/>
    <row r="8093" s="1" customFormat="1" ht="15.95" customHeight="1" x14ac:dyDescent="0.25"/>
    <row r="8094" s="1" customFormat="1" ht="15.95" customHeight="1" x14ac:dyDescent="0.25"/>
    <row r="8095" s="1" customFormat="1" ht="15.95" customHeight="1" x14ac:dyDescent="0.25"/>
    <row r="8096" s="1" customFormat="1" ht="15.95" customHeight="1" x14ac:dyDescent="0.25"/>
    <row r="8097" s="1" customFormat="1" ht="15.95" customHeight="1" x14ac:dyDescent="0.25"/>
    <row r="8098" s="1" customFormat="1" ht="15.95" customHeight="1" x14ac:dyDescent="0.25"/>
    <row r="8099" s="1" customFormat="1" ht="15.95" customHeight="1" x14ac:dyDescent="0.25"/>
    <row r="8100" s="1" customFormat="1" ht="15.95" customHeight="1" x14ac:dyDescent="0.25"/>
    <row r="8101" s="1" customFormat="1" ht="15.95" customHeight="1" x14ac:dyDescent="0.25"/>
    <row r="8102" s="1" customFormat="1" ht="15.95" customHeight="1" x14ac:dyDescent="0.25"/>
    <row r="8103" s="1" customFormat="1" ht="15.95" customHeight="1" x14ac:dyDescent="0.25"/>
    <row r="8104" s="1" customFormat="1" ht="15.95" customHeight="1" x14ac:dyDescent="0.25"/>
    <row r="8105" s="1" customFormat="1" ht="15.95" customHeight="1" x14ac:dyDescent="0.25"/>
    <row r="8106" s="1" customFormat="1" ht="15.95" customHeight="1" x14ac:dyDescent="0.25"/>
    <row r="8107" s="1" customFormat="1" ht="15.95" customHeight="1" x14ac:dyDescent="0.25"/>
    <row r="8108" s="1" customFormat="1" ht="15.95" customHeight="1" x14ac:dyDescent="0.25"/>
    <row r="8109" s="1" customFormat="1" ht="15.95" customHeight="1" x14ac:dyDescent="0.25"/>
    <row r="8110" s="1" customFormat="1" ht="15.95" customHeight="1" x14ac:dyDescent="0.25"/>
    <row r="8111" s="1" customFormat="1" ht="15.95" customHeight="1" x14ac:dyDescent="0.25"/>
    <row r="8112" s="1" customFormat="1" ht="15.95" customHeight="1" x14ac:dyDescent="0.25"/>
    <row r="8113" s="1" customFormat="1" ht="15.95" customHeight="1" x14ac:dyDescent="0.25"/>
    <row r="8114" s="1" customFormat="1" ht="15.95" customHeight="1" x14ac:dyDescent="0.25"/>
    <row r="8115" s="1" customFormat="1" ht="15.95" customHeight="1" x14ac:dyDescent="0.25"/>
    <row r="8116" s="1" customFormat="1" ht="15.95" customHeight="1" x14ac:dyDescent="0.25"/>
    <row r="8117" s="1" customFormat="1" ht="15.95" customHeight="1" x14ac:dyDescent="0.25"/>
    <row r="8118" s="1" customFormat="1" ht="15.95" customHeight="1" x14ac:dyDescent="0.25"/>
    <row r="8119" s="1" customFormat="1" ht="15.95" customHeight="1" x14ac:dyDescent="0.25"/>
    <row r="8120" s="1" customFormat="1" ht="15.95" customHeight="1" x14ac:dyDescent="0.25"/>
    <row r="8121" s="1" customFormat="1" ht="15.95" customHeight="1" x14ac:dyDescent="0.25"/>
    <row r="8122" s="1" customFormat="1" ht="15.95" customHeight="1" x14ac:dyDescent="0.25"/>
    <row r="8123" s="1" customFormat="1" ht="15.95" customHeight="1" x14ac:dyDescent="0.25"/>
    <row r="8124" s="1" customFormat="1" ht="15.95" customHeight="1" x14ac:dyDescent="0.25"/>
    <row r="8125" s="1" customFormat="1" ht="15.95" customHeight="1" x14ac:dyDescent="0.25"/>
    <row r="8126" s="1" customFormat="1" ht="15.95" customHeight="1" x14ac:dyDescent="0.25"/>
    <row r="8127" s="1" customFormat="1" ht="15.95" customHeight="1" x14ac:dyDescent="0.25"/>
    <row r="8128" s="1" customFormat="1" ht="15.95" customHeight="1" x14ac:dyDescent="0.25"/>
    <row r="8129" s="1" customFormat="1" ht="15.95" customHeight="1" x14ac:dyDescent="0.25"/>
    <row r="8130" s="1" customFormat="1" ht="15.95" customHeight="1" x14ac:dyDescent="0.25"/>
    <row r="8131" s="1" customFormat="1" ht="15.95" customHeight="1" x14ac:dyDescent="0.25"/>
    <row r="8132" s="1" customFormat="1" ht="15.95" customHeight="1" x14ac:dyDescent="0.25"/>
    <row r="8133" s="1" customFormat="1" ht="15.95" customHeight="1" x14ac:dyDescent="0.25"/>
    <row r="8134" s="1" customFormat="1" ht="15.95" customHeight="1" x14ac:dyDescent="0.25"/>
    <row r="8135" s="1" customFormat="1" ht="15.95" customHeight="1" x14ac:dyDescent="0.25"/>
    <row r="8136" s="1" customFormat="1" ht="15.95" customHeight="1" x14ac:dyDescent="0.25"/>
    <row r="8137" s="1" customFormat="1" ht="15.95" customHeight="1" x14ac:dyDescent="0.25"/>
    <row r="8138" s="1" customFormat="1" ht="15.95" customHeight="1" x14ac:dyDescent="0.25"/>
    <row r="8139" s="1" customFormat="1" ht="15.95" customHeight="1" x14ac:dyDescent="0.25"/>
    <row r="8140" s="1" customFormat="1" ht="15.95" customHeight="1" x14ac:dyDescent="0.25"/>
    <row r="8141" s="1" customFormat="1" ht="15.95" customHeight="1" x14ac:dyDescent="0.25"/>
    <row r="8142" s="1" customFormat="1" ht="15.95" customHeight="1" x14ac:dyDescent="0.25"/>
    <row r="8143" s="1" customFormat="1" ht="15.95" customHeight="1" x14ac:dyDescent="0.25"/>
    <row r="8144" s="1" customFormat="1" ht="15.95" customHeight="1" x14ac:dyDescent="0.25"/>
    <row r="8145" s="1" customFormat="1" ht="15.95" customHeight="1" x14ac:dyDescent="0.25"/>
    <row r="8146" s="1" customFormat="1" ht="15.95" customHeight="1" x14ac:dyDescent="0.25"/>
    <row r="8147" s="1" customFormat="1" ht="15.95" customHeight="1" x14ac:dyDescent="0.25"/>
    <row r="8148" s="1" customFormat="1" ht="15.95" customHeight="1" x14ac:dyDescent="0.25"/>
    <row r="8149" s="1" customFormat="1" ht="15.95" customHeight="1" x14ac:dyDescent="0.25"/>
    <row r="8150" s="1" customFormat="1" ht="15.95" customHeight="1" x14ac:dyDescent="0.25"/>
    <row r="8151" s="1" customFormat="1" ht="15.95" customHeight="1" x14ac:dyDescent="0.25"/>
    <row r="8152" s="1" customFormat="1" ht="15.95" customHeight="1" x14ac:dyDescent="0.25"/>
    <row r="8153" s="1" customFormat="1" ht="15.95" customHeight="1" x14ac:dyDescent="0.25"/>
    <row r="8154" s="1" customFormat="1" ht="15.95" customHeight="1" x14ac:dyDescent="0.25"/>
    <row r="8155" s="1" customFormat="1" ht="15.95" customHeight="1" x14ac:dyDescent="0.25"/>
    <row r="8156" s="1" customFormat="1" ht="15.95" customHeight="1" x14ac:dyDescent="0.25"/>
    <row r="8157" s="1" customFormat="1" ht="15.95" customHeight="1" x14ac:dyDescent="0.25"/>
    <row r="8158" s="1" customFormat="1" ht="15.95" customHeight="1" x14ac:dyDescent="0.25"/>
    <row r="8159" s="1" customFormat="1" ht="15.95" customHeight="1" x14ac:dyDescent="0.25"/>
    <row r="8160" s="1" customFormat="1" ht="15.95" customHeight="1" x14ac:dyDescent="0.25"/>
    <row r="8161" s="1" customFormat="1" ht="15.95" customHeight="1" x14ac:dyDescent="0.25"/>
    <row r="8162" s="1" customFormat="1" ht="15.95" customHeight="1" x14ac:dyDescent="0.25"/>
    <row r="8163" s="1" customFormat="1" ht="15.95" customHeight="1" x14ac:dyDescent="0.25"/>
    <row r="8164" s="1" customFormat="1" ht="15.95" customHeight="1" x14ac:dyDescent="0.25"/>
    <row r="8165" s="1" customFormat="1" ht="15.95" customHeight="1" x14ac:dyDescent="0.25"/>
    <row r="8166" s="1" customFormat="1" ht="15.95" customHeight="1" x14ac:dyDescent="0.25"/>
    <row r="8167" s="1" customFormat="1" ht="15.95" customHeight="1" x14ac:dyDescent="0.25"/>
    <row r="8168" s="1" customFormat="1" ht="15.95" customHeight="1" x14ac:dyDescent="0.25"/>
    <row r="8169" s="1" customFormat="1" ht="15.95" customHeight="1" x14ac:dyDescent="0.25"/>
    <row r="8170" s="1" customFormat="1" ht="15.95" customHeight="1" x14ac:dyDescent="0.25"/>
    <row r="8171" s="1" customFormat="1" ht="15.95" customHeight="1" x14ac:dyDescent="0.25"/>
    <row r="8172" s="1" customFormat="1" ht="15.95" customHeight="1" x14ac:dyDescent="0.25"/>
    <row r="8173" s="1" customFormat="1" ht="15.95" customHeight="1" x14ac:dyDescent="0.25"/>
    <row r="8174" s="1" customFormat="1" ht="15.95" customHeight="1" x14ac:dyDescent="0.25"/>
    <row r="8175" s="1" customFormat="1" ht="15.95" customHeight="1" x14ac:dyDescent="0.25"/>
    <row r="8176" s="1" customFormat="1" ht="15.95" customHeight="1" x14ac:dyDescent="0.25"/>
    <row r="8177" s="1" customFormat="1" ht="15.95" customHeight="1" x14ac:dyDescent="0.25"/>
    <row r="8178" s="1" customFormat="1" ht="15.95" customHeight="1" x14ac:dyDescent="0.25"/>
    <row r="8179" s="1" customFormat="1" ht="15.95" customHeight="1" x14ac:dyDescent="0.25"/>
    <row r="8180" s="1" customFormat="1" ht="15.95" customHeight="1" x14ac:dyDescent="0.25"/>
    <row r="8181" s="1" customFormat="1" ht="15.95" customHeight="1" x14ac:dyDescent="0.25"/>
    <row r="8182" s="1" customFormat="1" ht="15.95" customHeight="1" x14ac:dyDescent="0.25"/>
    <row r="8183" s="1" customFormat="1" ht="15.95" customHeight="1" x14ac:dyDescent="0.25"/>
    <row r="8184" s="1" customFormat="1" ht="15.95" customHeight="1" x14ac:dyDescent="0.25"/>
    <row r="8185" s="1" customFormat="1" ht="15.95" customHeight="1" x14ac:dyDescent="0.25"/>
    <row r="8186" s="1" customFormat="1" ht="15.95" customHeight="1" x14ac:dyDescent="0.25"/>
    <row r="8187" s="1" customFormat="1" ht="15.95" customHeight="1" x14ac:dyDescent="0.25"/>
    <row r="8188" s="1" customFormat="1" ht="15.95" customHeight="1" x14ac:dyDescent="0.25"/>
    <row r="8189" s="1" customFormat="1" ht="15.95" customHeight="1" x14ac:dyDescent="0.25"/>
    <row r="8190" s="1" customFormat="1" ht="15.95" customHeight="1" x14ac:dyDescent="0.25"/>
    <row r="8191" s="1" customFormat="1" ht="15.95" customHeight="1" x14ac:dyDescent="0.25"/>
    <row r="8192" s="1" customFormat="1" ht="15.95" customHeight="1" x14ac:dyDescent="0.25"/>
    <row r="8193" s="1" customFormat="1" ht="15.95" customHeight="1" x14ac:dyDescent="0.25"/>
    <row r="8194" s="1" customFormat="1" ht="15.95" customHeight="1" x14ac:dyDescent="0.25"/>
    <row r="8195" s="1" customFormat="1" ht="15.95" customHeight="1" x14ac:dyDescent="0.25"/>
    <row r="8196" s="1" customFormat="1" ht="15.95" customHeight="1" x14ac:dyDescent="0.25"/>
    <row r="8197" s="1" customFormat="1" ht="15.95" customHeight="1" x14ac:dyDescent="0.25"/>
    <row r="8198" s="1" customFormat="1" ht="15.95" customHeight="1" x14ac:dyDescent="0.25"/>
    <row r="8199" s="1" customFormat="1" ht="15.95" customHeight="1" x14ac:dyDescent="0.25"/>
    <row r="8200" s="1" customFormat="1" ht="15.95" customHeight="1" x14ac:dyDescent="0.25"/>
    <row r="8201" s="1" customFormat="1" ht="15.95" customHeight="1" x14ac:dyDescent="0.25"/>
    <row r="8202" s="1" customFormat="1" ht="15.95" customHeight="1" x14ac:dyDescent="0.25"/>
    <row r="8203" s="1" customFormat="1" ht="15.95" customHeight="1" x14ac:dyDescent="0.25"/>
    <row r="8204" s="1" customFormat="1" ht="15.95" customHeight="1" x14ac:dyDescent="0.25"/>
    <row r="8205" s="1" customFormat="1" ht="15.95" customHeight="1" x14ac:dyDescent="0.25"/>
    <row r="8206" s="1" customFormat="1" ht="15.95" customHeight="1" x14ac:dyDescent="0.25"/>
    <row r="8207" s="1" customFormat="1" ht="15.95" customHeight="1" x14ac:dyDescent="0.25"/>
    <row r="8208" s="1" customFormat="1" ht="15.95" customHeight="1" x14ac:dyDescent="0.25"/>
    <row r="8209" s="1" customFormat="1" ht="15.95" customHeight="1" x14ac:dyDescent="0.25"/>
    <row r="8210" s="1" customFormat="1" ht="15.95" customHeight="1" x14ac:dyDescent="0.25"/>
    <row r="8211" s="1" customFormat="1" ht="15.95" customHeight="1" x14ac:dyDescent="0.25"/>
    <row r="8212" s="1" customFormat="1" ht="15.95" customHeight="1" x14ac:dyDescent="0.25"/>
    <row r="8213" s="1" customFormat="1" ht="15.95" customHeight="1" x14ac:dyDescent="0.25"/>
    <row r="8214" s="1" customFormat="1" ht="15.95" customHeight="1" x14ac:dyDescent="0.25"/>
    <row r="8215" s="1" customFormat="1" ht="15.95" customHeight="1" x14ac:dyDescent="0.25"/>
    <row r="8216" s="1" customFormat="1" ht="15.95" customHeight="1" x14ac:dyDescent="0.25"/>
    <row r="8217" s="1" customFormat="1" ht="15.95" customHeight="1" x14ac:dyDescent="0.25"/>
    <row r="8218" s="1" customFormat="1" ht="15.95" customHeight="1" x14ac:dyDescent="0.25"/>
    <row r="8219" s="1" customFormat="1" ht="15.95" customHeight="1" x14ac:dyDescent="0.25"/>
    <row r="8220" s="1" customFormat="1" ht="15.95" customHeight="1" x14ac:dyDescent="0.25"/>
    <row r="8221" s="1" customFormat="1" ht="15.95" customHeight="1" x14ac:dyDescent="0.25"/>
    <row r="8222" s="1" customFormat="1" ht="15.95" customHeight="1" x14ac:dyDescent="0.25"/>
    <row r="8223" s="1" customFormat="1" ht="15.95" customHeight="1" x14ac:dyDescent="0.25"/>
    <row r="8224" s="1" customFormat="1" ht="15.95" customHeight="1" x14ac:dyDescent="0.25"/>
    <row r="8225" s="1" customFormat="1" ht="15.95" customHeight="1" x14ac:dyDescent="0.25"/>
    <row r="8226" s="1" customFormat="1" ht="15.95" customHeight="1" x14ac:dyDescent="0.25"/>
    <row r="8227" s="1" customFormat="1" ht="15.95" customHeight="1" x14ac:dyDescent="0.25"/>
    <row r="8228" s="1" customFormat="1" ht="15.95" customHeight="1" x14ac:dyDescent="0.25"/>
    <row r="8229" s="1" customFormat="1" ht="15.95" customHeight="1" x14ac:dyDescent="0.25"/>
    <row r="8230" s="1" customFormat="1" ht="15.95" customHeight="1" x14ac:dyDescent="0.25"/>
    <row r="8231" s="1" customFormat="1" ht="15.95" customHeight="1" x14ac:dyDescent="0.25"/>
    <row r="8232" s="1" customFormat="1" ht="15.95" customHeight="1" x14ac:dyDescent="0.25"/>
    <row r="8233" s="1" customFormat="1" ht="15.95" customHeight="1" x14ac:dyDescent="0.25"/>
    <row r="8234" s="1" customFormat="1" ht="15.95" customHeight="1" x14ac:dyDescent="0.25"/>
    <row r="8235" s="1" customFormat="1" ht="15.95" customHeight="1" x14ac:dyDescent="0.25"/>
    <row r="8236" s="1" customFormat="1" ht="15.95" customHeight="1" x14ac:dyDescent="0.25"/>
    <row r="8237" s="1" customFormat="1" ht="15.95" customHeight="1" x14ac:dyDescent="0.25"/>
    <row r="8238" s="1" customFormat="1" ht="15.95" customHeight="1" x14ac:dyDescent="0.25"/>
    <row r="8239" s="1" customFormat="1" ht="15.95" customHeight="1" x14ac:dyDescent="0.25"/>
    <row r="8240" s="1" customFormat="1" ht="15.95" customHeight="1" x14ac:dyDescent="0.25"/>
    <row r="8241" s="1" customFormat="1" ht="15.95" customHeight="1" x14ac:dyDescent="0.25"/>
    <row r="8242" s="1" customFormat="1" ht="15.95" customHeight="1" x14ac:dyDescent="0.25"/>
    <row r="8243" s="1" customFormat="1" ht="15.95" customHeight="1" x14ac:dyDescent="0.25"/>
    <row r="8244" s="1" customFormat="1" ht="15.95" customHeight="1" x14ac:dyDescent="0.25"/>
    <row r="8245" s="1" customFormat="1" ht="15.95" customHeight="1" x14ac:dyDescent="0.25"/>
    <row r="8246" s="1" customFormat="1" ht="15.95" customHeight="1" x14ac:dyDescent="0.25"/>
    <row r="8247" s="1" customFormat="1" ht="15.95" customHeight="1" x14ac:dyDescent="0.25"/>
    <row r="8248" s="1" customFormat="1" ht="15.95" customHeight="1" x14ac:dyDescent="0.25"/>
    <row r="8249" s="1" customFormat="1" ht="15.95" customHeight="1" x14ac:dyDescent="0.25"/>
    <row r="8250" s="1" customFormat="1" ht="15.95" customHeight="1" x14ac:dyDescent="0.25"/>
    <row r="8251" s="1" customFormat="1" ht="15.95" customHeight="1" x14ac:dyDescent="0.25"/>
    <row r="8252" s="1" customFormat="1" ht="15.95" customHeight="1" x14ac:dyDescent="0.25"/>
    <row r="8253" s="1" customFormat="1" ht="15.95" customHeight="1" x14ac:dyDescent="0.25"/>
    <row r="8254" s="1" customFormat="1" ht="15.95" customHeight="1" x14ac:dyDescent="0.25"/>
    <row r="8255" s="1" customFormat="1" ht="15.95" customHeight="1" x14ac:dyDescent="0.25"/>
    <row r="8256" s="1" customFormat="1" ht="15.95" customHeight="1" x14ac:dyDescent="0.25"/>
    <row r="8257" s="1" customFormat="1" ht="15.95" customHeight="1" x14ac:dyDescent="0.25"/>
    <row r="8258" s="1" customFormat="1" ht="15.95" customHeight="1" x14ac:dyDescent="0.25"/>
    <row r="8259" s="1" customFormat="1" ht="15.95" customHeight="1" x14ac:dyDescent="0.25"/>
    <row r="8260" s="1" customFormat="1" ht="15.95" customHeight="1" x14ac:dyDescent="0.25"/>
    <row r="8261" s="1" customFormat="1" ht="15.95" customHeight="1" x14ac:dyDescent="0.25"/>
    <row r="8262" s="1" customFormat="1" ht="15.95" customHeight="1" x14ac:dyDescent="0.25"/>
    <row r="8263" s="1" customFormat="1" ht="15.95" customHeight="1" x14ac:dyDescent="0.25"/>
    <row r="8264" s="1" customFormat="1" ht="15.95" customHeight="1" x14ac:dyDescent="0.25"/>
    <row r="8265" s="1" customFormat="1" ht="15.95" customHeight="1" x14ac:dyDescent="0.25"/>
    <row r="8266" s="1" customFormat="1" ht="15.95" customHeight="1" x14ac:dyDescent="0.25"/>
    <row r="8267" s="1" customFormat="1" ht="15.95" customHeight="1" x14ac:dyDescent="0.25"/>
    <row r="8268" s="1" customFormat="1" ht="15.95" customHeight="1" x14ac:dyDescent="0.25"/>
    <row r="8269" s="1" customFormat="1" ht="15.95" customHeight="1" x14ac:dyDescent="0.25"/>
    <row r="8270" s="1" customFormat="1" ht="15.95" customHeight="1" x14ac:dyDescent="0.25"/>
    <row r="8271" s="1" customFormat="1" ht="15.95" customHeight="1" x14ac:dyDescent="0.25"/>
    <row r="8272" s="1" customFormat="1" ht="15.95" customHeight="1" x14ac:dyDescent="0.25"/>
    <row r="8273" s="1" customFormat="1" ht="15.95" customHeight="1" x14ac:dyDescent="0.25"/>
    <row r="8274" s="1" customFormat="1" ht="15.95" customHeight="1" x14ac:dyDescent="0.25"/>
    <row r="8275" s="1" customFormat="1" ht="15.95" customHeight="1" x14ac:dyDescent="0.25"/>
    <row r="8276" s="1" customFormat="1" ht="15.95" customHeight="1" x14ac:dyDescent="0.25"/>
    <row r="8277" s="1" customFormat="1" ht="15.95" customHeight="1" x14ac:dyDescent="0.25"/>
    <row r="8278" s="1" customFormat="1" ht="15.95" customHeight="1" x14ac:dyDescent="0.25"/>
    <row r="8279" s="1" customFormat="1" ht="15.95" customHeight="1" x14ac:dyDescent="0.25"/>
    <row r="8280" s="1" customFormat="1" ht="15.95" customHeight="1" x14ac:dyDescent="0.25"/>
    <row r="8281" s="1" customFormat="1" ht="15.95" customHeight="1" x14ac:dyDescent="0.25"/>
    <row r="8282" s="1" customFormat="1" ht="15.95" customHeight="1" x14ac:dyDescent="0.25"/>
    <row r="8283" s="1" customFormat="1" ht="15.95" customHeight="1" x14ac:dyDescent="0.25"/>
    <row r="8284" s="1" customFormat="1" ht="15.95" customHeight="1" x14ac:dyDescent="0.25"/>
    <row r="8285" s="1" customFormat="1" ht="15.95" customHeight="1" x14ac:dyDescent="0.25"/>
    <row r="8286" s="1" customFormat="1" ht="15.95" customHeight="1" x14ac:dyDescent="0.25"/>
    <row r="8287" s="1" customFormat="1" ht="15.95" customHeight="1" x14ac:dyDescent="0.25"/>
    <row r="8288" s="1" customFormat="1" ht="15.95" customHeight="1" x14ac:dyDescent="0.25"/>
    <row r="8289" s="1" customFormat="1" ht="15.95" customHeight="1" x14ac:dyDescent="0.25"/>
    <row r="8290" s="1" customFormat="1" ht="15.95" customHeight="1" x14ac:dyDescent="0.25"/>
    <row r="8291" s="1" customFormat="1" ht="15.95" customHeight="1" x14ac:dyDescent="0.25"/>
    <row r="8292" s="1" customFormat="1" ht="15.95" customHeight="1" x14ac:dyDescent="0.25"/>
    <row r="8293" s="1" customFormat="1" ht="15.95" customHeight="1" x14ac:dyDescent="0.25"/>
    <row r="8294" s="1" customFormat="1" ht="15.95" customHeight="1" x14ac:dyDescent="0.25"/>
    <row r="8295" s="1" customFormat="1" ht="15.95" customHeight="1" x14ac:dyDescent="0.25"/>
    <row r="8296" s="1" customFormat="1" ht="15.95" customHeight="1" x14ac:dyDescent="0.25"/>
    <row r="8297" s="1" customFormat="1" ht="15.95" customHeight="1" x14ac:dyDescent="0.25"/>
    <row r="8298" s="1" customFormat="1" ht="15.95" customHeight="1" x14ac:dyDescent="0.25"/>
    <row r="8299" s="1" customFormat="1" ht="15.95" customHeight="1" x14ac:dyDescent="0.25"/>
    <row r="8300" s="1" customFormat="1" ht="15.95" customHeight="1" x14ac:dyDescent="0.25"/>
    <row r="8301" s="1" customFormat="1" ht="15.95" customHeight="1" x14ac:dyDescent="0.25"/>
    <row r="8302" s="1" customFormat="1" ht="15.95" customHeight="1" x14ac:dyDescent="0.25"/>
    <row r="8303" s="1" customFormat="1" ht="15.95" customHeight="1" x14ac:dyDescent="0.25"/>
    <row r="8304" s="1" customFormat="1" ht="15.95" customHeight="1" x14ac:dyDescent="0.25"/>
    <row r="8305" s="1" customFormat="1" ht="15.95" customHeight="1" x14ac:dyDescent="0.25"/>
    <row r="8306" s="1" customFormat="1" ht="15.95" customHeight="1" x14ac:dyDescent="0.25"/>
    <row r="8307" s="1" customFormat="1" ht="15.95" customHeight="1" x14ac:dyDescent="0.25"/>
    <row r="8308" s="1" customFormat="1" ht="15.95" customHeight="1" x14ac:dyDescent="0.25"/>
    <row r="8309" s="1" customFormat="1" ht="15.95" customHeight="1" x14ac:dyDescent="0.25"/>
    <row r="8310" s="1" customFormat="1" ht="15.95" customHeight="1" x14ac:dyDescent="0.25"/>
    <row r="8311" s="1" customFormat="1" ht="15.95" customHeight="1" x14ac:dyDescent="0.25"/>
    <row r="8312" s="1" customFormat="1" ht="15.95" customHeight="1" x14ac:dyDescent="0.25"/>
    <row r="8313" s="1" customFormat="1" ht="15.95" customHeight="1" x14ac:dyDescent="0.25"/>
    <row r="8314" s="1" customFormat="1" ht="15.95" customHeight="1" x14ac:dyDescent="0.25"/>
    <row r="8315" s="1" customFormat="1" ht="15.95" customHeight="1" x14ac:dyDescent="0.25"/>
    <row r="8316" s="1" customFormat="1" ht="15.95" customHeight="1" x14ac:dyDescent="0.25"/>
    <row r="8317" s="1" customFormat="1" ht="15.95" customHeight="1" x14ac:dyDescent="0.25"/>
    <row r="8318" s="1" customFormat="1" ht="15.95" customHeight="1" x14ac:dyDescent="0.25"/>
    <row r="8319" s="1" customFormat="1" ht="15.95" customHeight="1" x14ac:dyDescent="0.25"/>
    <row r="8320" s="1" customFormat="1" ht="15.95" customHeight="1" x14ac:dyDescent="0.25"/>
    <row r="8321" s="1" customFormat="1" ht="15.95" customHeight="1" x14ac:dyDescent="0.25"/>
    <row r="8322" s="1" customFormat="1" ht="15.95" customHeight="1" x14ac:dyDescent="0.25"/>
    <row r="8323" s="1" customFormat="1" ht="15.95" customHeight="1" x14ac:dyDescent="0.25"/>
    <row r="8324" s="1" customFormat="1" ht="15.95" customHeight="1" x14ac:dyDescent="0.25"/>
    <row r="8325" s="1" customFormat="1" ht="15.95" customHeight="1" x14ac:dyDescent="0.25"/>
    <row r="8326" s="1" customFormat="1" ht="15.95" customHeight="1" x14ac:dyDescent="0.25"/>
    <row r="8327" s="1" customFormat="1" ht="15.95" customHeight="1" x14ac:dyDescent="0.25"/>
    <row r="8328" s="1" customFormat="1" ht="15.95" customHeight="1" x14ac:dyDescent="0.25"/>
    <row r="8329" s="1" customFormat="1" ht="15.95" customHeight="1" x14ac:dyDescent="0.25"/>
    <row r="8330" s="1" customFormat="1" ht="15.95" customHeight="1" x14ac:dyDescent="0.25"/>
    <row r="8331" s="1" customFormat="1" ht="15.95" customHeight="1" x14ac:dyDescent="0.25"/>
    <row r="8332" s="1" customFormat="1" ht="15.95" customHeight="1" x14ac:dyDescent="0.25"/>
    <row r="8333" s="1" customFormat="1" ht="15.95" customHeight="1" x14ac:dyDescent="0.25"/>
    <row r="8334" s="1" customFormat="1" ht="15.95" customHeight="1" x14ac:dyDescent="0.25"/>
    <row r="8335" s="1" customFormat="1" ht="15.95" customHeight="1" x14ac:dyDescent="0.25"/>
    <row r="8336" s="1" customFormat="1" ht="15.95" customHeight="1" x14ac:dyDescent="0.25"/>
    <row r="8337" s="1" customFormat="1" ht="15.95" customHeight="1" x14ac:dyDescent="0.25"/>
    <row r="8338" s="1" customFormat="1" ht="15.95" customHeight="1" x14ac:dyDescent="0.25"/>
    <row r="8339" s="1" customFormat="1" ht="15.95" customHeight="1" x14ac:dyDescent="0.25"/>
    <row r="8340" s="1" customFormat="1" ht="15.95" customHeight="1" x14ac:dyDescent="0.25"/>
    <row r="8341" s="1" customFormat="1" ht="15.95" customHeight="1" x14ac:dyDescent="0.25"/>
    <row r="8342" s="1" customFormat="1" ht="15.95" customHeight="1" x14ac:dyDescent="0.25"/>
    <row r="8343" s="1" customFormat="1" ht="15.95" customHeight="1" x14ac:dyDescent="0.25"/>
    <row r="8344" s="1" customFormat="1" ht="15.95" customHeight="1" x14ac:dyDescent="0.25"/>
    <row r="8345" s="1" customFormat="1" ht="15.95" customHeight="1" x14ac:dyDescent="0.25"/>
    <row r="8346" s="1" customFormat="1" ht="15.95" customHeight="1" x14ac:dyDescent="0.25"/>
    <row r="8347" s="1" customFormat="1" ht="15.95" customHeight="1" x14ac:dyDescent="0.25"/>
    <row r="8348" s="1" customFormat="1" ht="15.95" customHeight="1" x14ac:dyDescent="0.25"/>
    <row r="8349" s="1" customFormat="1" ht="15.95" customHeight="1" x14ac:dyDescent="0.25"/>
    <row r="8350" s="1" customFormat="1" ht="15.95" customHeight="1" x14ac:dyDescent="0.25"/>
    <row r="8351" s="1" customFormat="1" ht="15.95" customHeight="1" x14ac:dyDescent="0.25"/>
    <row r="8352" s="1" customFormat="1" ht="15.95" customHeight="1" x14ac:dyDescent="0.25"/>
    <row r="8353" s="1" customFormat="1" ht="15.95" customHeight="1" x14ac:dyDescent="0.25"/>
    <row r="8354" s="1" customFormat="1" ht="15.95" customHeight="1" x14ac:dyDescent="0.25"/>
    <row r="8355" s="1" customFormat="1" ht="15.95" customHeight="1" x14ac:dyDescent="0.25"/>
    <row r="8356" s="1" customFormat="1" ht="15.95" customHeight="1" x14ac:dyDescent="0.25"/>
    <row r="8357" s="1" customFormat="1" ht="15.95" customHeight="1" x14ac:dyDescent="0.25"/>
    <row r="8358" s="1" customFormat="1" ht="15.95" customHeight="1" x14ac:dyDescent="0.25"/>
    <row r="8359" s="1" customFormat="1" ht="15.95" customHeight="1" x14ac:dyDescent="0.25"/>
    <row r="8360" s="1" customFormat="1" ht="15.95" customHeight="1" x14ac:dyDescent="0.25"/>
    <row r="8361" s="1" customFormat="1" ht="15.95" customHeight="1" x14ac:dyDescent="0.25"/>
    <row r="8362" s="1" customFormat="1" ht="15.95" customHeight="1" x14ac:dyDescent="0.25"/>
    <row r="8363" s="1" customFormat="1" ht="15.95" customHeight="1" x14ac:dyDescent="0.25"/>
    <row r="8364" s="1" customFormat="1" ht="15.95" customHeight="1" x14ac:dyDescent="0.25"/>
    <row r="8365" s="1" customFormat="1" ht="15.95" customHeight="1" x14ac:dyDescent="0.25"/>
    <row r="8366" s="1" customFormat="1" ht="15.95" customHeight="1" x14ac:dyDescent="0.25"/>
    <row r="8367" s="1" customFormat="1" ht="15.95" customHeight="1" x14ac:dyDescent="0.25"/>
    <row r="8368" s="1" customFormat="1" ht="15.95" customHeight="1" x14ac:dyDescent="0.25"/>
    <row r="8369" s="1" customFormat="1" ht="15.95" customHeight="1" x14ac:dyDescent="0.25"/>
    <row r="8370" s="1" customFormat="1" ht="15.95" customHeight="1" x14ac:dyDescent="0.25"/>
    <row r="8371" s="1" customFormat="1" ht="15.95" customHeight="1" x14ac:dyDescent="0.25"/>
    <row r="8372" s="1" customFormat="1" ht="15.95" customHeight="1" x14ac:dyDescent="0.25"/>
    <row r="8373" s="1" customFormat="1" ht="15.95" customHeight="1" x14ac:dyDescent="0.25"/>
    <row r="8374" s="1" customFormat="1" ht="15.95" customHeight="1" x14ac:dyDescent="0.25"/>
    <row r="8375" s="1" customFormat="1" ht="15.95" customHeight="1" x14ac:dyDescent="0.25"/>
    <row r="8376" s="1" customFormat="1" ht="15.95" customHeight="1" x14ac:dyDescent="0.25"/>
    <row r="8377" s="1" customFormat="1" ht="15.95" customHeight="1" x14ac:dyDescent="0.25"/>
    <row r="8378" s="1" customFormat="1" ht="15.95" customHeight="1" x14ac:dyDescent="0.25"/>
    <row r="8379" s="1" customFormat="1" ht="15.95" customHeight="1" x14ac:dyDescent="0.25"/>
    <row r="8380" s="1" customFormat="1" ht="15.95" customHeight="1" x14ac:dyDescent="0.25"/>
    <row r="8381" s="1" customFormat="1" ht="15.95" customHeight="1" x14ac:dyDescent="0.25"/>
    <row r="8382" s="1" customFormat="1" ht="15.95" customHeight="1" x14ac:dyDescent="0.25"/>
    <row r="8383" s="1" customFormat="1" ht="15.95" customHeight="1" x14ac:dyDescent="0.25"/>
    <row r="8384" s="1" customFormat="1" ht="15.95" customHeight="1" x14ac:dyDescent="0.25"/>
    <row r="8385" s="1" customFormat="1" ht="15.95" customHeight="1" x14ac:dyDescent="0.25"/>
    <row r="8386" s="1" customFormat="1" ht="15.95" customHeight="1" x14ac:dyDescent="0.25"/>
    <row r="8387" s="1" customFormat="1" ht="15.95" customHeight="1" x14ac:dyDescent="0.25"/>
    <row r="8388" s="1" customFormat="1" ht="15.95" customHeight="1" x14ac:dyDescent="0.25"/>
    <row r="8389" s="1" customFormat="1" ht="15.95" customHeight="1" x14ac:dyDescent="0.25"/>
    <row r="8390" s="1" customFormat="1" ht="15.95" customHeight="1" x14ac:dyDescent="0.25"/>
    <row r="8391" s="1" customFormat="1" ht="15.95" customHeight="1" x14ac:dyDescent="0.25"/>
    <row r="8392" s="1" customFormat="1" ht="15.95" customHeight="1" x14ac:dyDescent="0.25"/>
    <row r="8393" s="1" customFormat="1" ht="15.95" customHeight="1" x14ac:dyDescent="0.25"/>
    <row r="8394" s="1" customFormat="1" ht="15.95" customHeight="1" x14ac:dyDescent="0.25"/>
    <row r="8395" s="1" customFormat="1" ht="15.95" customHeight="1" x14ac:dyDescent="0.25"/>
    <row r="8396" s="1" customFormat="1" ht="15.95" customHeight="1" x14ac:dyDescent="0.25"/>
    <row r="8397" s="1" customFormat="1" ht="15.95" customHeight="1" x14ac:dyDescent="0.25"/>
    <row r="8398" s="1" customFormat="1" ht="15.95" customHeight="1" x14ac:dyDescent="0.25"/>
    <row r="8399" s="1" customFormat="1" ht="15.95" customHeight="1" x14ac:dyDescent="0.25"/>
    <row r="8400" s="1" customFormat="1" ht="15.95" customHeight="1" x14ac:dyDescent="0.25"/>
    <row r="8401" s="1" customFormat="1" ht="15.95" customHeight="1" x14ac:dyDescent="0.25"/>
    <row r="8402" s="1" customFormat="1" ht="15.95" customHeight="1" x14ac:dyDescent="0.25"/>
    <row r="8403" s="1" customFormat="1" ht="15.95" customHeight="1" x14ac:dyDescent="0.25"/>
    <row r="8404" s="1" customFormat="1" ht="15.95" customHeight="1" x14ac:dyDescent="0.25"/>
    <row r="8405" s="1" customFormat="1" ht="15.95" customHeight="1" x14ac:dyDescent="0.25"/>
    <row r="8406" s="1" customFormat="1" ht="15.95" customHeight="1" x14ac:dyDescent="0.25"/>
    <row r="8407" s="1" customFormat="1" ht="15.95" customHeight="1" x14ac:dyDescent="0.25"/>
    <row r="8408" s="1" customFormat="1" ht="15.95" customHeight="1" x14ac:dyDescent="0.25"/>
    <row r="8409" s="1" customFormat="1" ht="15.95" customHeight="1" x14ac:dyDescent="0.25"/>
    <row r="8410" s="1" customFormat="1" ht="15.95" customHeight="1" x14ac:dyDescent="0.25"/>
    <row r="8411" s="1" customFormat="1" ht="15.95" customHeight="1" x14ac:dyDescent="0.25"/>
    <row r="8412" s="1" customFormat="1" ht="15.95" customHeight="1" x14ac:dyDescent="0.25"/>
    <row r="8413" s="1" customFormat="1" ht="15.95" customHeight="1" x14ac:dyDescent="0.25"/>
    <row r="8414" s="1" customFormat="1" ht="15.95" customHeight="1" x14ac:dyDescent="0.25"/>
    <row r="8415" s="1" customFormat="1" ht="15.95" customHeight="1" x14ac:dyDescent="0.25"/>
    <row r="8416" s="1" customFormat="1" ht="15.95" customHeight="1" x14ac:dyDescent="0.25"/>
    <row r="8417" s="1" customFormat="1" ht="15.95" customHeight="1" x14ac:dyDescent="0.25"/>
    <row r="8418" s="1" customFormat="1" ht="15.95" customHeight="1" x14ac:dyDescent="0.25"/>
    <row r="8419" s="1" customFormat="1" ht="15.95" customHeight="1" x14ac:dyDescent="0.25"/>
    <row r="8420" s="1" customFormat="1" ht="15.95" customHeight="1" x14ac:dyDescent="0.25"/>
    <row r="8421" s="1" customFormat="1" ht="15.95" customHeight="1" x14ac:dyDescent="0.25"/>
    <row r="8422" s="1" customFormat="1" ht="15.95" customHeight="1" x14ac:dyDescent="0.25"/>
    <row r="8423" s="1" customFormat="1" ht="15.95" customHeight="1" x14ac:dyDescent="0.25"/>
    <row r="8424" s="1" customFormat="1" ht="15.95" customHeight="1" x14ac:dyDescent="0.25"/>
    <row r="8425" s="1" customFormat="1" ht="15.95" customHeight="1" x14ac:dyDescent="0.25"/>
    <row r="8426" s="1" customFormat="1" ht="15.95" customHeight="1" x14ac:dyDescent="0.25"/>
    <row r="8427" s="1" customFormat="1" ht="15.95" customHeight="1" x14ac:dyDescent="0.25"/>
    <row r="8428" s="1" customFormat="1" ht="15.95" customHeight="1" x14ac:dyDescent="0.25"/>
    <row r="8429" s="1" customFormat="1" ht="15.95" customHeight="1" x14ac:dyDescent="0.25"/>
    <row r="8430" s="1" customFormat="1" ht="15.95" customHeight="1" x14ac:dyDescent="0.25"/>
    <row r="8431" s="1" customFormat="1" ht="15.95" customHeight="1" x14ac:dyDescent="0.25"/>
    <row r="8432" s="1" customFormat="1" ht="15.95" customHeight="1" x14ac:dyDescent="0.25"/>
    <row r="8433" s="1" customFormat="1" ht="15.95" customHeight="1" x14ac:dyDescent="0.25"/>
    <row r="8434" s="1" customFormat="1" ht="15.95" customHeight="1" x14ac:dyDescent="0.25"/>
    <row r="8435" s="1" customFormat="1" ht="15.95" customHeight="1" x14ac:dyDescent="0.25"/>
    <row r="8436" s="1" customFormat="1" ht="15.95" customHeight="1" x14ac:dyDescent="0.25"/>
    <row r="8437" s="1" customFormat="1" ht="15.95" customHeight="1" x14ac:dyDescent="0.25"/>
    <row r="8438" s="1" customFormat="1" ht="15.95" customHeight="1" x14ac:dyDescent="0.25"/>
    <row r="8439" s="1" customFormat="1" ht="15.95" customHeight="1" x14ac:dyDescent="0.25"/>
    <row r="8440" s="1" customFormat="1" ht="15.95" customHeight="1" x14ac:dyDescent="0.25"/>
    <row r="8441" s="1" customFormat="1" ht="15.95" customHeight="1" x14ac:dyDescent="0.25"/>
    <row r="8442" s="1" customFormat="1" ht="15.95" customHeight="1" x14ac:dyDescent="0.25"/>
    <row r="8443" s="1" customFormat="1" ht="15.95" customHeight="1" x14ac:dyDescent="0.25"/>
    <row r="8444" s="1" customFormat="1" ht="15.95" customHeight="1" x14ac:dyDescent="0.25"/>
    <row r="8445" s="1" customFormat="1" ht="15.95" customHeight="1" x14ac:dyDescent="0.25"/>
    <row r="8446" s="1" customFormat="1" ht="15.95" customHeight="1" x14ac:dyDescent="0.25"/>
    <row r="8447" s="1" customFormat="1" ht="15.95" customHeight="1" x14ac:dyDescent="0.25"/>
    <row r="8448" s="1" customFormat="1" ht="15.95" customHeight="1" x14ac:dyDescent="0.25"/>
    <row r="8449" s="1" customFormat="1" ht="15.95" customHeight="1" x14ac:dyDescent="0.25"/>
    <row r="8450" s="1" customFormat="1" ht="15.95" customHeight="1" x14ac:dyDescent="0.25"/>
    <row r="8451" s="1" customFormat="1" ht="15.95" customHeight="1" x14ac:dyDescent="0.25"/>
    <row r="8452" s="1" customFormat="1" ht="15.95" customHeight="1" x14ac:dyDescent="0.25"/>
    <row r="8453" s="1" customFormat="1" ht="15.95" customHeight="1" x14ac:dyDescent="0.25"/>
    <row r="8454" s="1" customFormat="1" ht="15.95" customHeight="1" x14ac:dyDescent="0.25"/>
    <row r="8455" s="1" customFormat="1" ht="15.95" customHeight="1" x14ac:dyDescent="0.25"/>
    <row r="8456" s="1" customFormat="1" ht="15.95" customHeight="1" x14ac:dyDescent="0.25"/>
    <row r="8457" s="1" customFormat="1" ht="15.95" customHeight="1" x14ac:dyDescent="0.25"/>
    <row r="8458" s="1" customFormat="1" ht="15.95" customHeight="1" x14ac:dyDescent="0.25"/>
    <row r="8459" s="1" customFormat="1" ht="15.95" customHeight="1" x14ac:dyDescent="0.25"/>
    <row r="8460" s="1" customFormat="1" ht="15.95" customHeight="1" x14ac:dyDescent="0.25"/>
    <row r="8461" s="1" customFormat="1" ht="15.95" customHeight="1" x14ac:dyDescent="0.25"/>
    <row r="8462" s="1" customFormat="1" ht="15.95" customHeight="1" x14ac:dyDescent="0.25"/>
    <row r="8463" s="1" customFormat="1" ht="15.95" customHeight="1" x14ac:dyDescent="0.25"/>
    <row r="8464" s="1" customFormat="1" ht="15.95" customHeight="1" x14ac:dyDescent="0.25"/>
    <row r="8465" s="1" customFormat="1" ht="15.95" customHeight="1" x14ac:dyDescent="0.25"/>
    <row r="8466" s="1" customFormat="1" ht="15.95" customHeight="1" x14ac:dyDescent="0.25"/>
    <row r="8467" s="1" customFormat="1" ht="15.95" customHeight="1" x14ac:dyDescent="0.25"/>
    <row r="8468" s="1" customFormat="1" ht="15.95" customHeight="1" x14ac:dyDescent="0.25"/>
    <row r="8469" s="1" customFormat="1" ht="15.95" customHeight="1" x14ac:dyDescent="0.25"/>
    <row r="8470" s="1" customFormat="1" ht="15.95" customHeight="1" x14ac:dyDescent="0.25"/>
    <row r="8471" s="1" customFormat="1" ht="15.95" customHeight="1" x14ac:dyDescent="0.25"/>
    <row r="8472" s="1" customFormat="1" ht="15.95" customHeight="1" x14ac:dyDescent="0.25"/>
    <row r="8473" s="1" customFormat="1" ht="15.95" customHeight="1" x14ac:dyDescent="0.25"/>
    <row r="8474" s="1" customFormat="1" ht="15.95" customHeight="1" x14ac:dyDescent="0.25"/>
    <row r="8475" s="1" customFormat="1" ht="15.95" customHeight="1" x14ac:dyDescent="0.25"/>
    <row r="8476" s="1" customFormat="1" ht="15.95" customHeight="1" x14ac:dyDescent="0.25"/>
    <row r="8477" s="1" customFormat="1" ht="15.95" customHeight="1" x14ac:dyDescent="0.25"/>
    <row r="8478" s="1" customFormat="1" ht="15.95" customHeight="1" x14ac:dyDescent="0.25"/>
    <row r="8479" s="1" customFormat="1" ht="15.95" customHeight="1" x14ac:dyDescent="0.25"/>
    <row r="8480" s="1" customFormat="1" ht="15.95" customHeight="1" x14ac:dyDescent="0.25"/>
    <row r="8481" s="1" customFormat="1" ht="15.95" customHeight="1" x14ac:dyDescent="0.25"/>
    <row r="8482" s="1" customFormat="1" ht="15.95" customHeight="1" x14ac:dyDescent="0.25"/>
    <row r="8483" s="1" customFormat="1" ht="15.95" customHeight="1" x14ac:dyDescent="0.25"/>
    <row r="8484" s="1" customFormat="1" ht="15.95" customHeight="1" x14ac:dyDescent="0.25"/>
    <row r="8485" s="1" customFormat="1" ht="15.95" customHeight="1" x14ac:dyDescent="0.25"/>
    <row r="8486" s="1" customFormat="1" ht="15.95" customHeight="1" x14ac:dyDescent="0.25"/>
    <row r="8487" s="1" customFormat="1" ht="15.95" customHeight="1" x14ac:dyDescent="0.25"/>
    <row r="8488" s="1" customFormat="1" ht="15.95" customHeight="1" x14ac:dyDescent="0.25"/>
    <row r="8489" s="1" customFormat="1" ht="15.95" customHeight="1" x14ac:dyDescent="0.25"/>
    <row r="8490" s="1" customFormat="1" ht="15.95" customHeight="1" x14ac:dyDescent="0.25"/>
    <row r="8491" s="1" customFormat="1" ht="15.95" customHeight="1" x14ac:dyDescent="0.25"/>
    <row r="8492" s="1" customFormat="1" ht="15.95" customHeight="1" x14ac:dyDescent="0.25"/>
    <row r="8493" s="1" customFormat="1" ht="15.95" customHeight="1" x14ac:dyDescent="0.25"/>
    <row r="8494" s="1" customFormat="1" ht="15.95" customHeight="1" x14ac:dyDescent="0.25"/>
    <row r="8495" s="1" customFormat="1" ht="15.95" customHeight="1" x14ac:dyDescent="0.25"/>
    <row r="8496" s="1" customFormat="1" ht="15.95" customHeight="1" x14ac:dyDescent="0.25"/>
    <row r="8497" s="1" customFormat="1" ht="15.95" customHeight="1" x14ac:dyDescent="0.25"/>
    <row r="8498" s="1" customFormat="1" ht="15.95" customHeight="1" x14ac:dyDescent="0.25"/>
    <row r="8499" s="1" customFormat="1" ht="15.95" customHeight="1" x14ac:dyDescent="0.25"/>
    <row r="8500" s="1" customFormat="1" ht="15.95" customHeight="1" x14ac:dyDescent="0.25"/>
    <row r="8501" s="1" customFormat="1" ht="15.95" customHeight="1" x14ac:dyDescent="0.25"/>
    <row r="8502" s="1" customFormat="1" ht="15.95" customHeight="1" x14ac:dyDescent="0.25"/>
    <row r="8503" s="1" customFormat="1" ht="15.95" customHeight="1" x14ac:dyDescent="0.25"/>
    <row r="8504" s="1" customFormat="1" ht="15.95" customHeight="1" x14ac:dyDescent="0.25"/>
    <row r="8505" s="1" customFormat="1" ht="15.95" customHeight="1" x14ac:dyDescent="0.25"/>
    <row r="8506" s="1" customFormat="1" ht="15.95" customHeight="1" x14ac:dyDescent="0.25"/>
    <row r="8507" s="1" customFormat="1" ht="15.95" customHeight="1" x14ac:dyDescent="0.25"/>
    <row r="8508" s="1" customFormat="1" ht="15.95" customHeight="1" x14ac:dyDescent="0.25"/>
    <row r="8509" s="1" customFormat="1" ht="15.95" customHeight="1" x14ac:dyDescent="0.25"/>
    <row r="8510" s="1" customFormat="1" ht="15.95" customHeight="1" x14ac:dyDescent="0.25"/>
    <row r="8511" s="1" customFormat="1" ht="15.95" customHeight="1" x14ac:dyDescent="0.25"/>
    <row r="8512" s="1" customFormat="1" ht="15.95" customHeight="1" x14ac:dyDescent="0.25"/>
    <row r="8513" s="1" customFormat="1" ht="15.95" customHeight="1" x14ac:dyDescent="0.25"/>
    <row r="8514" s="1" customFormat="1" ht="15.95" customHeight="1" x14ac:dyDescent="0.25"/>
    <row r="8515" s="1" customFormat="1" ht="15.95" customHeight="1" x14ac:dyDescent="0.25"/>
    <row r="8516" s="1" customFormat="1" ht="15.95" customHeight="1" x14ac:dyDescent="0.25"/>
    <row r="8517" s="1" customFormat="1" ht="15.95" customHeight="1" x14ac:dyDescent="0.25"/>
    <row r="8518" s="1" customFormat="1" ht="15.95" customHeight="1" x14ac:dyDescent="0.25"/>
    <row r="8519" s="1" customFormat="1" ht="15.95" customHeight="1" x14ac:dyDescent="0.25"/>
    <row r="8520" s="1" customFormat="1" ht="15.95" customHeight="1" x14ac:dyDescent="0.25"/>
    <row r="8521" s="1" customFormat="1" ht="15.95" customHeight="1" x14ac:dyDescent="0.25"/>
    <row r="8522" s="1" customFormat="1" ht="15.95" customHeight="1" x14ac:dyDescent="0.25"/>
    <row r="8523" s="1" customFormat="1" ht="15.95" customHeight="1" x14ac:dyDescent="0.25"/>
    <row r="8524" s="1" customFormat="1" ht="15.95" customHeight="1" x14ac:dyDescent="0.25"/>
    <row r="8525" s="1" customFormat="1" ht="15.95" customHeight="1" x14ac:dyDescent="0.25"/>
    <row r="8526" s="1" customFormat="1" ht="15.95" customHeight="1" x14ac:dyDescent="0.25"/>
    <row r="8527" s="1" customFormat="1" ht="15.95" customHeight="1" x14ac:dyDescent="0.25"/>
    <row r="8528" s="1" customFormat="1" ht="15.95" customHeight="1" x14ac:dyDescent="0.25"/>
    <row r="8529" s="1" customFormat="1" ht="15.95" customHeight="1" x14ac:dyDescent="0.25"/>
    <row r="8530" s="1" customFormat="1" ht="15.95" customHeight="1" x14ac:dyDescent="0.25"/>
    <row r="8531" s="1" customFormat="1" ht="15.95" customHeight="1" x14ac:dyDescent="0.25"/>
    <row r="8532" s="1" customFormat="1" ht="15.95" customHeight="1" x14ac:dyDescent="0.25"/>
    <row r="8533" s="1" customFormat="1" ht="15.95" customHeight="1" x14ac:dyDescent="0.25"/>
    <row r="8534" s="1" customFormat="1" ht="15.95" customHeight="1" x14ac:dyDescent="0.25"/>
    <row r="8535" s="1" customFormat="1" ht="15.95" customHeight="1" x14ac:dyDescent="0.25"/>
    <row r="8536" s="1" customFormat="1" ht="15.95" customHeight="1" x14ac:dyDescent="0.25"/>
    <row r="8537" s="1" customFormat="1" ht="15.95" customHeight="1" x14ac:dyDescent="0.25"/>
    <row r="8538" s="1" customFormat="1" ht="15.95" customHeight="1" x14ac:dyDescent="0.25"/>
    <row r="8539" s="1" customFormat="1" ht="15.95" customHeight="1" x14ac:dyDescent="0.25"/>
    <row r="8540" s="1" customFormat="1" ht="15.95" customHeight="1" x14ac:dyDescent="0.25"/>
    <row r="8541" s="1" customFormat="1" ht="15.95" customHeight="1" x14ac:dyDescent="0.25"/>
    <row r="8542" s="1" customFormat="1" ht="15.95" customHeight="1" x14ac:dyDescent="0.25"/>
    <row r="8543" s="1" customFormat="1" ht="15.95" customHeight="1" x14ac:dyDescent="0.25"/>
    <row r="8544" s="1" customFormat="1" ht="15.95" customHeight="1" x14ac:dyDescent="0.25"/>
    <row r="8545" s="1" customFormat="1" ht="15.95" customHeight="1" x14ac:dyDescent="0.25"/>
    <row r="8546" s="1" customFormat="1" ht="15.95" customHeight="1" x14ac:dyDescent="0.25"/>
    <row r="8547" s="1" customFormat="1" ht="15.95" customHeight="1" x14ac:dyDescent="0.25"/>
    <row r="8548" s="1" customFormat="1" ht="15.95" customHeight="1" x14ac:dyDescent="0.25"/>
    <row r="8549" s="1" customFormat="1" ht="15.95" customHeight="1" x14ac:dyDescent="0.25"/>
    <row r="8550" s="1" customFormat="1" ht="15.95" customHeight="1" x14ac:dyDescent="0.25"/>
    <row r="8551" s="1" customFormat="1" ht="15.95" customHeight="1" x14ac:dyDescent="0.25"/>
    <row r="8552" s="1" customFormat="1" ht="15.95" customHeight="1" x14ac:dyDescent="0.25"/>
    <row r="8553" s="1" customFormat="1" ht="15.95" customHeight="1" x14ac:dyDescent="0.25"/>
    <row r="8554" s="1" customFormat="1" ht="15.95" customHeight="1" x14ac:dyDescent="0.25"/>
    <row r="8555" s="1" customFormat="1" ht="15.95" customHeight="1" x14ac:dyDescent="0.25"/>
    <row r="8556" s="1" customFormat="1" ht="15.95" customHeight="1" x14ac:dyDescent="0.25"/>
    <row r="8557" s="1" customFormat="1" ht="15.95" customHeight="1" x14ac:dyDescent="0.25"/>
    <row r="8558" s="1" customFormat="1" ht="15.95" customHeight="1" x14ac:dyDescent="0.25"/>
    <row r="8559" s="1" customFormat="1" ht="15.95" customHeight="1" x14ac:dyDescent="0.25"/>
    <row r="8560" s="1" customFormat="1" ht="15.95" customHeight="1" x14ac:dyDescent="0.25"/>
    <row r="8561" s="1" customFormat="1" ht="15.95" customHeight="1" x14ac:dyDescent="0.25"/>
    <row r="8562" s="1" customFormat="1" ht="15.95" customHeight="1" x14ac:dyDescent="0.25"/>
    <row r="8563" s="1" customFormat="1" ht="15.95" customHeight="1" x14ac:dyDescent="0.25"/>
    <row r="8564" s="1" customFormat="1" ht="15.95" customHeight="1" x14ac:dyDescent="0.25"/>
    <row r="8565" s="1" customFormat="1" ht="15.95" customHeight="1" x14ac:dyDescent="0.25"/>
    <row r="8566" s="1" customFormat="1" ht="15.95" customHeight="1" x14ac:dyDescent="0.25"/>
    <row r="8567" s="1" customFormat="1" ht="15.95" customHeight="1" x14ac:dyDescent="0.25"/>
    <row r="8568" s="1" customFormat="1" ht="15.95" customHeight="1" x14ac:dyDescent="0.25"/>
    <row r="8569" s="1" customFormat="1" ht="15.95" customHeight="1" x14ac:dyDescent="0.25"/>
    <row r="8570" s="1" customFormat="1" ht="15.95" customHeight="1" x14ac:dyDescent="0.25"/>
    <row r="8571" s="1" customFormat="1" ht="15.95" customHeight="1" x14ac:dyDescent="0.25"/>
    <row r="8572" s="1" customFormat="1" ht="15.95" customHeight="1" x14ac:dyDescent="0.25"/>
    <row r="8573" s="1" customFormat="1" ht="15.95" customHeight="1" x14ac:dyDescent="0.25"/>
    <row r="8574" s="1" customFormat="1" ht="15.95" customHeight="1" x14ac:dyDescent="0.25"/>
    <row r="8575" s="1" customFormat="1" ht="15.95" customHeight="1" x14ac:dyDescent="0.25"/>
    <row r="8576" s="1" customFormat="1" ht="15.95" customHeight="1" x14ac:dyDescent="0.25"/>
    <row r="8577" s="1" customFormat="1" ht="15.95" customHeight="1" x14ac:dyDescent="0.25"/>
    <row r="8578" s="1" customFormat="1" ht="15.95" customHeight="1" x14ac:dyDescent="0.25"/>
    <row r="8579" s="1" customFormat="1" ht="15.95" customHeight="1" x14ac:dyDescent="0.25"/>
    <row r="8580" s="1" customFormat="1" ht="15.95" customHeight="1" x14ac:dyDescent="0.25"/>
    <row r="8581" s="1" customFormat="1" ht="15.95" customHeight="1" x14ac:dyDescent="0.25"/>
    <row r="8582" s="1" customFormat="1" ht="15.95" customHeight="1" x14ac:dyDescent="0.25"/>
    <row r="8583" s="1" customFormat="1" ht="15.95" customHeight="1" x14ac:dyDescent="0.25"/>
    <row r="8584" s="1" customFormat="1" ht="15.95" customHeight="1" x14ac:dyDescent="0.25"/>
    <row r="8585" s="1" customFormat="1" ht="15.95" customHeight="1" x14ac:dyDescent="0.25"/>
    <row r="8586" s="1" customFormat="1" ht="15.95" customHeight="1" x14ac:dyDescent="0.25"/>
    <row r="8587" s="1" customFormat="1" ht="15.95" customHeight="1" x14ac:dyDescent="0.25"/>
    <row r="8588" s="1" customFormat="1" ht="15.95" customHeight="1" x14ac:dyDescent="0.25"/>
    <row r="8589" s="1" customFormat="1" ht="15.95" customHeight="1" x14ac:dyDescent="0.25"/>
    <row r="8590" s="1" customFormat="1" ht="15.95" customHeight="1" x14ac:dyDescent="0.25"/>
    <row r="8591" s="1" customFormat="1" ht="15.95" customHeight="1" x14ac:dyDescent="0.25"/>
    <row r="8592" s="1" customFormat="1" ht="15.95" customHeight="1" x14ac:dyDescent="0.25"/>
    <row r="8593" s="1" customFormat="1" ht="15.95" customHeight="1" x14ac:dyDescent="0.25"/>
    <row r="8594" s="1" customFormat="1" ht="15.95" customHeight="1" x14ac:dyDescent="0.25"/>
    <row r="8595" s="1" customFormat="1" ht="15.95" customHeight="1" x14ac:dyDescent="0.25"/>
    <row r="8596" s="1" customFormat="1" ht="15.95" customHeight="1" x14ac:dyDescent="0.25"/>
    <row r="8597" s="1" customFormat="1" ht="15.95" customHeight="1" x14ac:dyDescent="0.25"/>
    <row r="8598" s="1" customFormat="1" ht="15.95" customHeight="1" x14ac:dyDescent="0.25"/>
    <row r="8599" s="1" customFormat="1" ht="15.95" customHeight="1" x14ac:dyDescent="0.25"/>
    <row r="8600" s="1" customFormat="1" ht="15.95" customHeight="1" x14ac:dyDescent="0.25"/>
    <row r="8601" s="1" customFormat="1" ht="15.95" customHeight="1" x14ac:dyDescent="0.25"/>
    <row r="8602" s="1" customFormat="1" ht="15.95" customHeight="1" x14ac:dyDescent="0.25"/>
    <row r="8603" s="1" customFormat="1" ht="15.95" customHeight="1" x14ac:dyDescent="0.25"/>
    <row r="8604" s="1" customFormat="1" ht="15.95" customHeight="1" x14ac:dyDescent="0.25"/>
    <row r="8605" s="1" customFormat="1" ht="15.95" customHeight="1" x14ac:dyDescent="0.25"/>
    <row r="8606" s="1" customFormat="1" ht="15.95" customHeight="1" x14ac:dyDescent="0.25"/>
    <row r="8607" s="1" customFormat="1" ht="15.95" customHeight="1" x14ac:dyDescent="0.25"/>
    <row r="8608" s="1" customFormat="1" ht="15.95" customHeight="1" x14ac:dyDescent="0.25"/>
    <row r="8609" s="1" customFormat="1" ht="15.95" customHeight="1" x14ac:dyDescent="0.25"/>
    <row r="8610" s="1" customFormat="1" ht="15.95" customHeight="1" x14ac:dyDescent="0.25"/>
    <row r="8611" s="1" customFormat="1" ht="15.95" customHeight="1" x14ac:dyDescent="0.25"/>
    <row r="8612" s="1" customFormat="1" ht="15.95" customHeight="1" x14ac:dyDescent="0.25"/>
    <row r="8613" s="1" customFormat="1" ht="15.95" customHeight="1" x14ac:dyDescent="0.25"/>
    <row r="8614" s="1" customFormat="1" ht="15.95" customHeight="1" x14ac:dyDescent="0.25"/>
    <row r="8615" s="1" customFormat="1" ht="15.95" customHeight="1" x14ac:dyDescent="0.25"/>
    <row r="8616" s="1" customFormat="1" ht="15.95" customHeight="1" x14ac:dyDescent="0.25"/>
    <row r="8617" s="1" customFormat="1" ht="15.95" customHeight="1" x14ac:dyDescent="0.25"/>
    <row r="8618" s="1" customFormat="1" ht="15.95" customHeight="1" x14ac:dyDescent="0.25"/>
    <row r="8619" s="1" customFormat="1" ht="15.95" customHeight="1" x14ac:dyDescent="0.25"/>
    <row r="8620" s="1" customFormat="1" ht="15.95" customHeight="1" x14ac:dyDescent="0.25"/>
    <row r="8621" s="1" customFormat="1" ht="15.95" customHeight="1" x14ac:dyDescent="0.25"/>
    <row r="8622" s="1" customFormat="1" ht="15.95" customHeight="1" x14ac:dyDescent="0.25"/>
    <row r="8623" s="1" customFormat="1" ht="15.95" customHeight="1" x14ac:dyDescent="0.25"/>
    <row r="8624" s="1" customFormat="1" ht="15.95" customHeight="1" x14ac:dyDescent="0.25"/>
    <row r="8625" s="1" customFormat="1" ht="15.95" customHeight="1" x14ac:dyDescent="0.25"/>
    <row r="8626" s="1" customFormat="1" ht="15.95" customHeight="1" x14ac:dyDescent="0.25"/>
    <row r="8627" s="1" customFormat="1" ht="15.95" customHeight="1" x14ac:dyDescent="0.25"/>
    <row r="8628" s="1" customFormat="1" ht="15.95" customHeight="1" x14ac:dyDescent="0.25"/>
    <row r="8629" s="1" customFormat="1" ht="15.95" customHeight="1" x14ac:dyDescent="0.25"/>
    <row r="8630" s="1" customFormat="1" ht="15.95" customHeight="1" x14ac:dyDescent="0.25"/>
    <row r="8631" s="1" customFormat="1" ht="15.95" customHeight="1" x14ac:dyDescent="0.25"/>
    <row r="8632" s="1" customFormat="1" ht="15.95" customHeight="1" x14ac:dyDescent="0.25"/>
    <row r="8633" s="1" customFormat="1" ht="15.95" customHeight="1" x14ac:dyDescent="0.25"/>
    <row r="8634" s="1" customFormat="1" ht="15.95" customHeight="1" x14ac:dyDescent="0.25"/>
    <row r="8635" s="1" customFormat="1" ht="15.95" customHeight="1" x14ac:dyDescent="0.25"/>
    <row r="8636" s="1" customFormat="1" ht="15.95" customHeight="1" x14ac:dyDescent="0.25"/>
    <row r="8637" s="1" customFormat="1" ht="15.95" customHeight="1" x14ac:dyDescent="0.25"/>
    <row r="8638" s="1" customFormat="1" ht="15.95" customHeight="1" x14ac:dyDescent="0.25"/>
    <row r="8639" s="1" customFormat="1" ht="15.95" customHeight="1" x14ac:dyDescent="0.25"/>
    <row r="8640" s="1" customFormat="1" ht="15.95" customHeight="1" x14ac:dyDescent="0.25"/>
    <row r="8641" s="1" customFormat="1" ht="15.95" customHeight="1" x14ac:dyDescent="0.25"/>
    <row r="8642" s="1" customFormat="1" ht="15.95" customHeight="1" x14ac:dyDescent="0.25"/>
    <row r="8643" s="1" customFormat="1" ht="15.95" customHeight="1" x14ac:dyDescent="0.25"/>
    <row r="8644" s="1" customFormat="1" ht="15.95" customHeight="1" x14ac:dyDescent="0.25"/>
    <row r="8645" s="1" customFormat="1" ht="15.95" customHeight="1" x14ac:dyDescent="0.25"/>
    <row r="8646" s="1" customFormat="1" ht="15.95" customHeight="1" x14ac:dyDescent="0.25"/>
    <row r="8647" s="1" customFormat="1" ht="15.95" customHeight="1" x14ac:dyDescent="0.25"/>
    <row r="8648" s="1" customFormat="1" ht="15.95" customHeight="1" x14ac:dyDescent="0.25"/>
    <row r="8649" s="1" customFormat="1" ht="15.95" customHeight="1" x14ac:dyDescent="0.25"/>
    <row r="8650" s="1" customFormat="1" ht="15.95" customHeight="1" x14ac:dyDescent="0.25"/>
    <row r="8651" s="1" customFormat="1" ht="15.95" customHeight="1" x14ac:dyDescent="0.25"/>
    <row r="8652" s="1" customFormat="1" ht="15.95" customHeight="1" x14ac:dyDescent="0.25"/>
    <row r="8653" s="1" customFormat="1" ht="15.95" customHeight="1" x14ac:dyDescent="0.25"/>
    <row r="8654" s="1" customFormat="1" ht="15.95" customHeight="1" x14ac:dyDescent="0.25"/>
    <row r="8655" s="1" customFormat="1" ht="15.95" customHeight="1" x14ac:dyDescent="0.25"/>
    <row r="8656" s="1" customFormat="1" ht="15.95" customHeight="1" x14ac:dyDescent="0.25"/>
    <row r="8657" s="1" customFormat="1" ht="15.95" customHeight="1" x14ac:dyDescent="0.25"/>
    <row r="8658" s="1" customFormat="1" ht="15.95" customHeight="1" x14ac:dyDescent="0.25"/>
    <row r="8659" s="1" customFormat="1" ht="15.95" customHeight="1" x14ac:dyDescent="0.25"/>
    <row r="8660" s="1" customFormat="1" ht="15.95" customHeight="1" x14ac:dyDescent="0.25"/>
    <row r="8661" s="1" customFormat="1" ht="15.95" customHeight="1" x14ac:dyDescent="0.25"/>
    <row r="8662" s="1" customFormat="1" ht="15.95" customHeight="1" x14ac:dyDescent="0.25"/>
    <row r="8663" s="1" customFormat="1" ht="15.95" customHeight="1" x14ac:dyDescent="0.25"/>
    <row r="8664" s="1" customFormat="1" ht="15.95" customHeight="1" x14ac:dyDescent="0.25"/>
    <row r="8665" s="1" customFormat="1" ht="15.95" customHeight="1" x14ac:dyDescent="0.25"/>
    <row r="8666" s="1" customFormat="1" ht="15.95" customHeight="1" x14ac:dyDescent="0.25"/>
    <row r="8667" s="1" customFormat="1" ht="15.95" customHeight="1" x14ac:dyDescent="0.25"/>
    <row r="8668" s="1" customFormat="1" ht="15.95" customHeight="1" x14ac:dyDescent="0.25"/>
    <row r="8669" s="1" customFormat="1" ht="15.95" customHeight="1" x14ac:dyDescent="0.25"/>
    <row r="8670" s="1" customFormat="1" ht="15.95" customHeight="1" x14ac:dyDescent="0.25"/>
    <row r="8671" s="1" customFormat="1" ht="15.95" customHeight="1" x14ac:dyDescent="0.25"/>
    <row r="8672" s="1" customFormat="1" ht="15.95" customHeight="1" x14ac:dyDescent="0.25"/>
    <row r="8673" s="1" customFormat="1" ht="15.95" customHeight="1" x14ac:dyDescent="0.25"/>
    <row r="8674" s="1" customFormat="1" ht="15.95" customHeight="1" x14ac:dyDescent="0.25"/>
    <row r="8675" s="1" customFormat="1" ht="15.95" customHeight="1" x14ac:dyDescent="0.25"/>
    <row r="8676" s="1" customFormat="1" ht="15.95" customHeight="1" x14ac:dyDescent="0.25"/>
    <row r="8677" s="1" customFormat="1" ht="15.95" customHeight="1" x14ac:dyDescent="0.25"/>
    <row r="8678" s="1" customFormat="1" ht="15.95" customHeight="1" x14ac:dyDescent="0.25"/>
    <row r="8679" s="1" customFormat="1" ht="15.95" customHeight="1" x14ac:dyDescent="0.25"/>
    <row r="8680" s="1" customFormat="1" ht="15.95" customHeight="1" x14ac:dyDescent="0.25"/>
    <row r="8681" s="1" customFormat="1" ht="15.95" customHeight="1" x14ac:dyDescent="0.25"/>
    <row r="8682" s="1" customFormat="1" ht="15.95" customHeight="1" x14ac:dyDescent="0.25"/>
    <row r="8683" s="1" customFormat="1" ht="15.95" customHeight="1" x14ac:dyDescent="0.25"/>
    <row r="8684" s="1" customFormat="1" ht="15.95" customHeight="1" x14ac:dyDescent="0.25"/>
    <row r="8685" s="1" customFormat="1" ht="15.95" customHeight="1" x14ac:dyDescent="0.25"/>
    <row r="8686" s="1" customFormat="1" ht="15.95" customHeight="1" x14ac:dyDescent="0.25"/>
    <row r="8687" s="1" customFormat="1" ht="15.95" customHeight="1" x14ac:dyDescent="0.25"/>
    <row r="8688" s="1" customFormat="1" ht="15.95" customHeight="1" x14ac:dyDescent="0.25"/>
    <row r="8689" s="1" customFormat="1" ht="15.95" customHeight="1" x14ac:dyDescent="0.25"/>
    <row r="8690" s="1" customFormat="1" ht="15.95" customHeight="1" x14ac:dyDescent="0.25"/>
    <row r="8691" s="1" customFormat="1" ht="15.95" customHeight="1" x14ac:dyDescent="0.25"/>
    <row r="8692" s="1" customFormat="1" ht="15.95" customHeight="1" x14ac:dyDescent="0.25"/>
    <row r="8693" s="1" customFormat="1" ht="15.95" customHeight="1" x14ac:dyDescent="0.25"/>
    <row r="8694" s="1" customFormat="1" ht="15.95" customHeight="1" x14ac:dyDescent="0.25"/>
    <row r="8695" s="1" customFormat="1" ht="15.95" customHeight="1" x14ac:dyDescent="0.25"/>
    <row r="8696" s="1" customFormat="1" ht="15.95" customHeight="1" x14ac:dyDescent="0.25"/>
    <row r="8697" s="1" customFormat="1" ht="15.95" customHeight="1" x14ac:dyDescent="0.25"/>
    <row r="8698" s="1" customFormat="1" ht="15.95" customHeight="1" x14ac:dyDescent="0.25"/>
    <row r="8699" s="1" customFormat="1" ht="15.95" customHeight="1" x14ac:dyDescent="0.25"/>
    <row r="8700" s="1" customFormat="1" ht="15.95" customHeight="1" x14ac:dyDescent="0.25"/>
    <row r="8701" s="1" customFormat="1" ht="15.95" customHeight="1" x14ac:dyDescent="0.25"/>
    <row r="8702" s="1" customFormat="1" ht="15.95" customHeight="1" x14ac:dyDescent="0.25"/>
    <row r="8703" s="1" customFormat="1" ht="15.95" customHeight="1" x14ac:dyDescent="0.25"/>
    <row r="8704" s="1" customFormat="1" ht="15.95" customHeight="1" x14ac:dyDescent="0.25"/>
    <row r="8705" s="1" customFormat="1" ht="15.95" customHeight="1" x14ac:dyDescent="0.25"/>
    <row r="8706" s="1" customFormat="1" ht="15.95" customHeight="1" x14ac:dyDescent="0.25"/>
    <row r="8707" s="1" customFormat="1" ht="15.95" customHeight="1" x14ac:dyDescent="0.25"/>
    <row r="8708" s="1" customFormat="1" ht="15.95" customHeight="1" x14ac:dyDescent="0.25"/>
    <row r="8709" s="1" customFormat="1" ht="15.95" customHeight="1" x14ac:dyDescent="0.25"/>
    <row r="8710" s="1" customFormat="1" ht="15.95" customHeight="1" x14ac:dyDescent="0.25"/>
    <row r="8711" s="1" customFormat="1" ht="15.95" customHeight="1" x14ac:dyDescent="0.25"/>
    <row r="8712" s="1" customFormat="1" ht="15.95" customHeight="1" x14ac:dyDescent="0.25"/>
    <row r="8713" s="1" customFormat="1" ht="15.95" customHeight="1" x14ac:dyDescent="0.25"/>
    <row r="8714" s="1" customFormat="1" ht="15.95" customHeight="1" x14ac:dyDescent="0.25"/>
    <row r="8715" s="1" customFormat="1" ht="15.95" customHeight="1" x14ac:dyDescent="0.25"/>
    <row r="8716" s="1" customFormat="1" ht="15.95" customHeight="1" x14ac:dyDescent="0.25"/>
    <row r="8717" s="1" customFormat="1" ht="15.95" customHeight="1" x14ac:dyDescent="0.25"/>
    <row r="8718" s="1" customFormat="1" ht="15.95" customHeight="1" x14ac:dyDescent="0.25"/>
    <row r="8719" s="1" customFormat="1" ht="15.95" customHeight="1" x14ac:dyDescent="0.25"/>
    <row r="8720" s="1" customFormat="1" ht="15.95" customHeight="1" x14ac:dyDescent="0.25"/>
    <row r="8721" s="1" customFormat="1" ht="15.95" customHeight="1" x14ac:dyDescent="0.25"/>
    <row r="8722" s="1" customFormat="1" ht="15.95" customHeight="1" x14ac:dyDescent="0.25"/>
    <row r="8723" s="1" customFormat="1" ht="15.95" customHeight="1" x14ac:dyDescent="0.25"/>
    <row r="8724" s="1" customFormat="1" ht="15.95" customHeight="1" x14ac:dyDescent="0.25"/>
    <row r="8725" s="1" customFormat="1" ht="15.95" customHeight="1" x14ac:dyDescent="0.25"/>
    <row r="8726" s="1" customFormat="1" ht="15.95" customHeight="1" x14ac:dyDescent="0.25"/>
    <row r="8727" s="1" customFormat="1" ht="15.95" customHeight="1" x14ac:dyDescent="0.25"/>
    <row r="8728" s="1" customFormat="1" ht="15.95" customHeight="1" x14ac:dyDescent="0.25"/>
    <row r="8729" s="1" customFormat="1" ht="15.95" customHeight="1" x14ac:dyDescent="0.25"/>
    <row r="8730" s="1" customFormat="1" ht="15.95" customHeight="1" x14ac:dyDescent="0.25"/>
    <row r="8731" s="1" customFormat="1" ht="15.95" customHeight="1" x14ac:dyDescent="0.25"/>
    <row r="8732" s="1" customFormat="1" ht="15.95" customHeight="1" x14ac:dyDescent="0.25"/>
    <row r="8733" s="1" customFormat="1" ht="15.95" customHeight="1" x14ac:dyDescent="0.25"/>
    <row r="8734" s="1" customFormat="1" ht="15.95" customHeight="1" x14ac:dyDescent="0.25"/>
    <row r="8735" s="1" customFormat="1" ht="15.95" customHeight="1" x14ac:dyDescent="0.25"/>
    <row r="8736" s="1" customFormat="1" ht="15.95" customHeight="1" x14ac:dyDescent="0.25"/>
    <row r="8737" s="1" customFormat="1" ht="15.95" customHeight="1" x14ac:dyDescent="0.25"/>
    <row r="8738" s="1" customFormat="1" ht="15.95" customHeight="1" x14ac:dyDescent="0.25"/>
    <row r="8739" s="1" customFormat="1" ht="15.95" customHeight="1" x14ac:dyDescent="0.25"/>
    <row r="8740" s="1" customFormat="1" ht="15.95" customHeight="1" x14ac:dyDescent="0.25"/>
    <row r="8741" s="1" customFormat="1" ht="15.95" customHeight="1" x14ac:dyDescent="0.25"/>
    <row r="8742" s="1" customFormat="1" ht="15.95" customHeight="1" x14ac:dyDescent="0.25"/>
    <row r="8743" s="1" customFormat="1" ht="15.95" customHeight="1" x14ac:dyDescent="0.25"/>
    <row r="8744" s="1" customFormat="1" ht="15.95" customHeight="1" x14ac:dyDescent="0.25"/>
    <row r="8745" s="1" customFormat="1" ht="15.95" customHeight="1" x14ac:dyDescent="0.25"/>
    <row r="8746" s="1" customFormat="1" ht="15.95" customHeight="1" x14ac:dyDescent="0.25"/>
    <row r="8747" s="1" customFormat="1" ht="15.95" customHeight="1" x14ac:dyDescent="0.25"/>
    <row r="8748" s="1" customFormat="1" ht="15.95" customHeight="1" x14ac:dyDescent="0.25"/>
    <row r="8749" s="1" customFormat="1" ht="15.95" customHeight="1" x14ac:dyDescent="0.25"/>
    <row r="8750" s="1" customFormat="1" ht="15.95" customHeight="1" x14ac:dyDescent="0.25"/>
    <row r="8751" s="1" customFormat="1" ht="15.95" customHeight="1" x14ac:dyDescent="0.25"/>
    <row r="8752" s="1" customFormat="1" ht="15.95" customHeight="1" x14ac:dyDescent="0.25"/>
    <row r="8753" s="1" customFormat="1" ht="15.95" customHeight="1" x14ac:dyDescent="0.25"/>
    <row r="8754" s="1" customFormat="1" ht="15.95" customHeight="1" x14ac:dyDescent="0.25"/>
    <row r="8755" s="1" customFormat="1" ht="15.95" customHeight="1" x14ac:dyDescent="0.25"/>
    <row r="8756" s="1" customFormat="1" ht="15.95" customHeight="1" x14ac:dyDescent="0.25"/>
    <row r="8757" s="1" customFormat="1" ht="15.95" customHeight="1" x14ac:dyDescent="0.25"/>
    <row r="8758" s="1" customFormat="1" ht="15.95" customHeight="1" x14ac:dyDescent="0.25"/>
    <row r="8759" s="1" customFormat="1" ht="15.95" customHeight="1" x14ac:dyDescent="0.25"/>
    <row r="8760" s="1" customFormat="1" ht="15.95" customHeight="1" x14ac:dyDescent="0.25"/>
    <row r="8761" s="1" customFormat="1" ht="15.95" customHeight="1" x14ac:dyDescent="0.25"/>
    <row r="8762" s="1" customFormat="1" ht="15.95" customHeight="1" x14ac:dyDescent="0.25"/>
    <row r="8763" s="1" customFormat="1" ht="15.95" customHeight="1" x14ac:dyDescent="0.25"/>
    <row r="8764" s="1" customFormat="1" ht="15.95" customHeight="1" x14ac:dyDescent="0.25"/>
    <row r="8765" s="1" customFormat="1" ht="15.95" customHeight="1" x14ac:dyDescent="0.25"/>
    <row r="8766" s="1" customFormat="1" ht="15.95" customHeight="1" x14ac:dyDescent="0.25"/>
    <row r="8767" s="1" customFormat="1" ht="15.95" customHeight="1" x14ac:dyDescent="0.25"/>
    <row r="8768" s="1" customFormat="1" ht="15.95" customHeight="1" x14ac:dyDescent="0.25"/>
    <row r="8769" s="1" customFormat="1" ht="15.95" customHeight="1" x14ac:dyDescent="0.25"/>
    <row r="8770" s="1" customFormat="1" ht="15.95" customHeight="1" x14ac:dyDescent="0.25"/>
    <row r="8771" s="1" customFormat="1" ht="15.95" customHeight="1" x14ac:dyDescent="0.25"/>
    <row r="8772" s="1" customFormat="1" ht="15.95" customHeight="1" x14ac:dyDescent="0.25"/>
    <row r="8773" s="1" customFormat="1" ht="15.95" customHeight="1" x14ac:dyDescent="0.25"/>
    <row r="8774" s="1" customFormat="1" ht="15.95" customHeight="1" x14ac:dyDescent="0.25"/>
    <row r="8775" s="1" customFormat="1" ht="15.95" customHeight="1" x14ac:dyDescent="0.25"/>
    <row r="8776" s="1" customFormat="1" ht="15.95" customHeight="1" x14ac:dyDescent="0.25"/>
    <row r="8777" s="1" customFormat="1" ht="15.95" customHeight="1" x14ac:dyDescent="0.25"/>
    <row r="8778" s="1" customFormat="1" ht="15.95" customHeight="1" x14ac:dyDescent="0.25"/>
    <row r="8779" s="1" customFormat="1" ht="15.95" customHeight="1" x14ac:dyDescent="0.25"/>
    <row r="8780" s="1" customFormat="1" ht="15.95" customHeight="1" x14ac:dyDescent="0.25"/>
    <row r="8781" s="1" customFormat="1" ht="15.95" customHeight="1" x14ac:dyDescent="0.25"/>
    <row r="8782" s="1" customFormat="1" ht="15.95" customHeight="1" x14ac:dyDescent="0.25"/>
    <row r="8783" s="1" customFormat="1" ht="15.95" customHeight="1" x14ac:dyDescent="0.25"/>
    <row r="8784" s="1" customFormat="1" ht="15.95" customHeight="1" x14ac:dyDescent="0.25"/>
    <row r="8785" s="1" customFormat="1" ht="15.95" customHeight="1" x14ac:dyDescent="0.25"/>
    <row r="8786" s="1" customFormat="1" ht="15.95" customHeight="1" x14ac:dyDescent="0.25"/>
    <row r="8787" s="1" customFormat="1" ht="15.95" customHeight="1" x14ac:dyDescent="0.25"/>
    <row r="8788" s="1" customFormat="1" ht="15.95" customHeight="1" x14ac:dyDescent="0.25"/>
    <row r="8789" s="1" customFormat="1" ht="15.95" customHeight="1" x14ac:dyDescent="0.25"/>
    <row r="8790" s="1" customFormat="1" ht="15.95" customHeight="1" x14ac:dyDescent="0.25"/>
    <row r="8791" s="1" customFormat="1" ht="15.95" customHeight="1" x14ac:dyDescent="0.25"/>
    <row r="8792" s="1" customFormat="1" ht="15.95" customHeight="1" x14ac:dyDescent="0.25"/>
    <row r="8793" s="1" customFormat="1" ht="15.95" customHeight="1" x14ac:dyDescent="0.25"/>
    <row r="8794" s="1" customFormat="1" ht="15.95" customHeight="1" x14ac:dyDescent="0.25"/>
    <row r="8795" s="1" customFormat="1" ht="15.95" customHeight="1" x14ac:dyDescent="0.25"/>
    <row r="8796" s="1" customFormat="1" ht="15.95" customHeight="1" x14ac:dyDescent="0.25"/>
    <row r="8797" s="1" customFormat="1" ht="15.95" customHeight="1" x14ac:dyDescent="0.25"/>
    <row r="8798" s="1" customFormat="1" ht="15.95" customHeight="1" x14ac:dyDescent="0.25"/>
    <row r="8799" s="1" customFormat="1" ht="15.95" customHeight="1" x14ac:dyDescent="0.25"/>
    <row r="8800" s="1" customFormat="1" ht="15.95" customHeight="1" x14ac:dyDescent="0.25"/>
    <row r="8801" s="1" customFormat="1" ht="15.95" customHeight="1" x14ac:dyDescent="0.25"/>
    <row r="8802" s="1" customFormat="1" ht="15.95" customHeight="1" x14ac:dyDescent="0.25"/>
    <row r="8803" s="1" customFormat="1" ht="15.95" customHeight="1" x14ac:dyDescent="0.25"/>
    <row r="8804" s="1" customFormat="1" ht="15.95" customHeight="1" x14ac:dyDescent="0.25"/>
    <row r="8805" s="1" customFormat="1" ht="15.95" customHeight="1" x14ac:dyDescent="0.25"/>
    <row r="8806" s="1" customFormat="1" ht="15.95" customHeight="1" x14ac:dyDescent="0.25"/>
    <row r="8807" s="1" customFormat="1" ht="15.95" customHeight="1" x14ac:dyDescent="0.25"/>
    <row r="8808" s="1" customFormat="1" ht="15.95" customHeight="1" x14ac:dyDescent="0.25"/>
    <row r="8809" s="1" customFormat="1" ht="15.95" customHeight="1" x14ac:dyDescent="0.25"/>
    <row r="8810" s="1" customFormat="1" ht="15.95" customHeight="1" x14ac:dyDescent="0.25"/>
    <row r="8811" s="1" customFormat="1" ht="15.95" customHeight="1" x14ac:dyDescent="0.25"/>
    <row r="8812" s="1" customFormat="1" ht="15.95" customHeight="1" x14ac:dyDescent="0.25"/>
    <row r="8813" s="1" customFormat="1" ht="15.95" customHeight="1" x14ac:dyDescent="0.25"/>
    <row r="8814" s="1" customFormat="1" ht="15.95" customHeight="1" x14ac:dyDescent="0.25"/>
    <row r="8815" s="1" customFormat="1" ht="15.95" customHeight="1" x14ac:dyDescent="0.25"/>
    <row r="8816" s="1" customFormat="1" ht="15.95" customHeight="1" x14ac:dyDescent="0.25"/>
    <row r="8817" s="1" customFormat="1" ht="15.95" customHeight="1" x14ac:dyDescent="0.25"/>
    <row r="8818" s="1" customFormat="1" ht="15.95" customHeight="1" x14ac:dyDescent="0.25"/>
    <row r="8819" s="1" customFormat="1" ht="15.95" customHeight="1" x14ac:dyDescent="0.25"/>
    <row r="8820" s="1" customFormat="1" ht="15.95" customHeight="1" x14ac:dyDescent="0.25"/>
    <row r="8821" s="1" customFormat="1" ht="15.95" customHeight="1" x14ac:dyDescent="0.25"/>
    <row r="8822" s="1" customFormat="1" ht="15.95" customHeight="1" x14ac:dyDescent="0.25"/>
    <row r="8823" s="1" customFormat="1" ht="15.95" customHeight="1" x14ac:dyDescent="0.25"/>
    <row r="8824" s="1" customFormat="1" ht="15.95" customHeight="1" x14ac:dyDescent="0.25"/>
    <row r="8825" s="1" customFormat="1" ht="15.95" customHeight="1" x14ac:dyDescent="0.25"/>
    <row r="8826" s="1" customFormat="1" ht="15.95" customHeight="1" x14ac:dyDescent="0.25"/>
    <row r="8827" s="1" customFormat="1" ht="15.95" customHeight="1" x14ac:dyDescent="0.25"/>
    <row r="8828" s="1" customFormat="1" ht="15.95" customHeight="1" x14ac:dyDescent="0.25"/>
    <row r="8829" s="1" customFormat="1" ht="15.95" customHeight="1" x14ac:dyDescent="0.25"/>
    <row r="8830" s="1" customFormat="1" ht="15.95" customHeight="1" x14ac:dyDescent="0.25"/>
    <row r="8831" s="1" customFormat="1" ht="15.95" customHeight="1" x14ac:dyDescent="0.25"/>
    <row r="8832" s="1" customFormat="1" ht="15.95" customHeight="1" x14ac:dyDescent="0.25"/>
    <row r="8833" s="1" customFormat="1" ht="15.95" customHeight="1" x14ac:dyDescent="0.25"/>
    <row r="8834" s="1" customFormat="1" ht="15.95" customHeight="1" x14ac:dyDescent="0.25"/>
    <row r="8835" s="1" customFormat="1" ht="15.95" customHeight="1" x14ac:dyDescent="0.25"/>
    <row r="8836" s="1" customFormat="1" ht="15.95" customHeight="1" x14ac:dyDescent="0.25"/>
    <row r="8837" s="1" customFormat="1" ht="15.95" customHeight="1" x14ac:dyDescent="0.25"/>
    <row r="8838" s="1" customFormat="1" ht="15.95" customHeight="1" x14ac:dyDescent="0.25"/>
    <row r="8839" s="1" customFormat="1" ht="15.95" customHeight="1" x14ac:dyDescent="0.25"/>
    <row r="8840" s="1" customFormat="1" ht="15.95" customHeight="1" x14ac:dyDescent="0.25"/>
    <row r="8841" s="1" customFormat="1" ht="15.95" customHeight="1" x14ac:dyDescent="0.25"/>
    <row r="8842" s="1" customFormat="1" ht="15.95" customHeight="1" x14ac:dyDescent="0.25"/>
    <row r="8843" s="1" customFormat="1" ht="15.95" customHeight="1" x14ac:dyDescent="0.25"/>
    <row r="8844" s="1" customFormat="1" ht="15.95" customHeight="1" x14ac:dyDescent="0.25"/>
    <row r="8845" s="1" customFormat="1" ht="15.95" customHeight="1" x14ac:dyDescent="0.25"/>
    <row r="8846" s="1" customFormat="1" ht="15.95" customHeight="1" x14ac:dyDescent="0.25"/>
    <row r="8847" s="1" customFormat="1" ht="15.95" customHeight="1" x14ac:dyDescent="0.25"/>
    <row r="8848" s="1" customFormat="1" ht="15.95" customHeight="1" x14ac:dyDescent="0.25"/>
    <row r="8849" s="1" customFormat="1" ht="15.95" customHeight="1" x14ac:dyDescent="0.25"/>
    <row r="8850" s="1" customFormat="1" ht="15.95" customHeight="1" x14ac:dyDescent="0.25"/>
    <row r="8851" s="1" customFormat="1" ht="15.95" customHeight="1" x14ac:dyDescent="0.25"/>
    <row r="8852" s="1" customFormat="1" ht="15.95" customHeight="1" x14ac:dyDescent="0.25"/>
    <row r="8853" s="1" customFormat="1" ht="15.95" customHeight="1" x14ac:dyDescent="0.25"/>
    <row r="8854" s="1" customFormat="1" ht="15.95" customHeight="1" x14ac:dyDescent="0.25"/>
    <row r="8855" s="1" customFormat="1" ht="15.95" customHeight="1" x14ac:dyDescent="0.25"/>
    <row r="8856" s="1" customFormat="1" ht="15.95" customHeight="1" x14ac:dyDescent="0.25"/>
    <row r="8857" s="1" customFormat="1" ht="15.95" customHeight="1" x14ac:dyDescent="0.25"/>
    <row r="8858" s="1" customFormat="1" ht="15.95" customHeight="1" x14ac:dyDescent="0.25"/>
    <row r="8859" s="1" customFormat="1" ht="15.95" customHeight="1" x14ac:dyDescent="0.25"/>
    <row r="8860" s="1" customFormat="1" ht="15.95" customHeight="1" x14ac:dyDescent="0.25"/>
    <row r="8861" s="1" customFormat="1" ht="15.95" customHeight="1" x14ac:dyDescent="0.25"/>
    <row r="8862" s="1" customFormat="1" ht="15.95" customHeight="1" x14ac:dyDescent="0.25"/>
    <row r="8863" s="1" customFormat="1" ht="15.95" customHeight="1" x14ac:dyDescent="0.25"/>
    <row r="8864" s="1" customFormat="1" ht="15.95" customHeight="1" x14ac:dyDescent="0.25"/>
    <row r="8865" s="1" customFormat="1" ht="15.95" customHeight="1" x14ac:dyDescent="0.25"/>
    <row r="8866" s="1" customFormat="1" ht="15.95" customHeight="1" x14ac:dyDescent="0.25"/>
    <row r="8867" s="1" customFormat="1" ht="15.95" customHeight="1" x14ac:dyDescent="0.25"/>
    <row r="8868" s="1" customFormat="1" ht="15.95" customHeight="1" x14ac:dyDescent="0.25"/>
    <row r="8869" s="1" customFormat="1" ht="15.95" customHeight="1" x14ac:dyDescent="0.25"/>
    <row r="8870" s="1" customFormat="1" ht="15.95" customHeight="1" x14ac:dyDescent="0.25"/>
    <row r="8871" s="1" customFormat="1" ht="15.95" customHeight="1" x14ac:dyDescent="0.25"/>
    <row r="8872" s="1" customFormat="1" ht="15.95" customHeight="1" x14ac:dyDescent="0.25"/>
    <row r="8873" s="1" customFormat="1" ht="15.95" customHeight="1" x14ac:dyDescent="0.25"/>
    <row r="8874" s="1" customFormat="1" ht="15.95" customHeight="1" x14ac:dyDescent="0.25"/>
    <row r="8875" s="1" customFormat="1" ht="15.95" customHeight="1" x14ac:dyDescent="0.25"/>
    <row r="8876" s="1" customFormat="1" ht="15.95" customHeight="1" x14ac:dyDescent="0.25"/>
    <row r="8877" s="1" customFormat="1" ht="15.95" customHeight="1" x14ac:dyDescent="0.25"/>
    <row r="8878" s="1" customFormat="1" ht="15.95" customHeight="1" x14ac:dyDescent="0.25"/>
    <row r="8879" s="1" customFormat="1" ht="15.95" customHeight="1" x14ac:dyDescent="0.25"/>
    <row r="8880" s="1" customFormat="1" ht="15.95" customHeight="1" x14ac:dyDescent="0.25"/>
    <row r="8881" s="1" customFormat="1" ht="15.95" customHeight="1" x14ac:dyDescent="0.25"/>
    <row r="8882" s="1" customFormat="1" ht="15.95" customHeight="1" x14ac:dyDescent="0.25"/>
    <row r="8883" s="1" customFormat="1" ht="15.95" customHeight="1" x14ac:dyDescent="0.25"/>
    <row r="8884" s="1" customFormat="1" ht="15.95" customHeight="1" x14ac:dyDescent="0.25"/>
    <row r="8885" s="1" customFormat="1" ht="15.95" customHeight="1" x14ac:dyDescent="0.25"/>
    <row r="8886" s="1" customFormat="1" ht="15.95" customHeight="1" x14ac:dyDescent="0.25"/>
    <row r="8887" s="1" customFormat="1" ht="15.95" customHeight="1" x14ac:dyDescent="0.25"/>
    <row r="8888" s="1" customFormat="1" ht="15.95" customHeight="1" x14ac:dyDescent="0.25"/>
    <row r="8889" s="1" customFormat="1" ht="15.95" customHeight="1" x14ac:dyDescent="0.25"/>
    <row r="8890" s="1" customFormat="1" ht="15.95" customHeight="1" x14ac:dyDescent="0.25"/>
    <row r="8891" s="1" customFormat="1" ht="15.95" customHeight="1" x14ac:dyDescent="0.25"/>
    <row r="8892" s="1" customFormat="1" ht="15.95" customHeight="1" x14ac:dyDescent="0.25"/>
    <row r="8893" s="1" customFormat="1" ht="15.95" customHeight="1" x14ac:dyDescent="0.25"/>
    <row r="8894" s="1" customFormat="1" ht="15.95" customHeight="1" x14ac:dyDescent="0.25"/>
    <row r="8895" s="1" customFormat="1" ht="15.95" customHeight="1" x14ac:dyDescent="0.25"/>
    <row r="8896" s="1" customFormat="1" ht="15.95" customHeight="1" x14ac:dyDescent="0.25"/>
    <row r="8897" s="1" customFormat="1" ht="15.95" customHeight="1" x14ac:dyDescent="0.25"/>
    <row r="8898" s="1" customFormat="1" ht="15.95" customHeight="1" x14ac:dyDescent="0.25"/>
    <row r="8899" s="1" customFormat="1" ht="15.95" customHeight="1" x14ac:dyDescent="0.25"/>
    <row r="8900" s="1" customFormat="1" ht="15.95" customHeight="1" x14ac:dyDescent="0.25"/>
    <row r="8901" s="1" customFormat="1" ht="15.95" customHeight="1" x14ac:dyDescent="0.25"/>
    <row r="8902" s="1" customFormat="1" ht="15.95" customHeight="1" x14ac:dyDescent="0.25"/>
    <row r="8903" s="1" customFormat="1" ht="15.95" customHeight="1" x14ac:dyDescent="0.25"/>
    <row r="8904" s="1" customFormat="1" ht="15.95" customHeight="1" x14ac:dyDescent="0.25"/>
    <row r="8905" s="1" customFormat="1" ht="15.95" customHeight="1" x14ac:dyDescent="0.25"/>
    <row r="8906" s="1" customFormat="1" ht="15.95" customHeight="1" x14ac:dyDescent="0.25"/>
    <row r="8907" s="1" customFormat="1" ht="15.95" customHeight="1" x14ac:dyDescent="0.25"/>
    <row r="8908" s="1" customFormat="1" ht="15.95" customHeight="1" x14ac:dyDescent="0.25"/>
    <row r="8909" s="1" customFormat="1" ht="15.95" customHeight="1" x14ac:dyDescent="0.25"/>
    <row r="8910" s="1" customFormat="1" ht="15.95" customHeight="1" x14ac:dyDescent="0.25"/>
    <row r="8911" s="1" customFormat="1" ht="15.95" customHeight="1" x14ac:dyDescent="0.25"/>
    <row r="8912" s="1" customFormat="1" ht="15.95" customHeight="1" x14ac:dyDescent="0.25"/>
    <row r="8913" s="1" customFormat="1" ht="15.95" customHeight="1" x14ac:dyDescent="0.25"/>
    <row r="8914" s="1" customFormat="1" ht="15.95" customHeight="1" x14ac:dyDescent="0.25"/>
    <row r="8915" s="1" customFormat="1" ht="15.95" customHeight="1" x14ac:dyDescent="0.25"/>
    <row r="8916" s="1" customFormat="1" ht="15.95" customHeight="1" x14ac:dyDescent="0.25"/>
    <row r="8917" s="1" customFormat="1" ht="15.95" customHeight="1" x14ac:dyDescent="0.25"/>
    <row r="8918" s="1" customFormat="1" ht="15.95" customHeight="1" x14ac:dyDescent="0.25"/>
    <row r="8919" s="1" customFormat="1" ht="15.95" customHeight="1" x14ac:dyDescent="0.25"/>
    <row r="8920" s="1" customFormat="1" ht="15.95" customHeight="1" x14ac:dyDescent="0.25"/>
    <row r="8921" s="1" customFormat="1" ht="15.95" customHeight="1" x14ac:dyDescent="0.25"/>
    <row r="8922" s="1" customFormat="1" ht="15.95" customHeight="1" x14ac:dyDescent="0.25"/>
    <row r="8923" s="1" customFormat="1" ht="15.95" customHeight="1" x14ac:dyDescent="0.25"/>
    <row r="8924" s="1" customFormat="1" ht="15.95" customHeight="1" x14ac:dyDescent="0.25"/>
    <row r="8925" s="1" customFormat="1" ht="15.95" customHeight="1" x14ac:dyDescent="0.25"/>
    <row r="8926" s="1" customFormat="1" ht="15.95" customHeight="1" x14ac:dyDescent="0.25"/>
    <row r="8927" s="1" customFormat="1" ht="15.95" customHeight="1" x14ac:dyDescent="0.25"/>
    <row r="8928" s="1" customFormat="1" ht="15.95" customHeight="1" x14ac:dyDescent="0.25"/>
    <row r="8929" s="1" customFormat="1" ht="15.95" customHeight="1" x14ac:dyDescent="0.25"/>
    <row r="8930" s="1" customFormat="1" ht="15.95" customHeight="1" x14ac:dyDescent="0.25"/>
    <row r="8931" s="1" customFormat="1" ht="15.95" customHeight="1" x14ac:dyDescent="0.25"/>
    <row r="8932" s="1" customFormat="1" ht="15.95" customHeight="1" x14ac:dyDescent="0.25"/>
    <row r="8933" s="1" customFormat="1" ht="15.95" customHeight="1" x14ac:dyDescent="0.25"/>
    <row r="8934" s="1" customFormat="1" ht="15.95" customHeight="1" x14ac:dyDescent="0.25"/>
    <row r="8935" s="1" customFormat="1" ht="15.95" customHeight="1" x14ac:dyDescent="0.25"/>
    <row r="8936" s="1" customFormat="1" ht="15.95" customHeight="1" x14ac:dyDescent="0.25"/>
    <row r="8937" s="1" customFormat="1" ht="15.95" customHeight="1" x14ac:dyDescent="0.25"/>
    <row r="8938" s="1" customFormat="1" ht="15.95" customHeight="1" x14ac:dyDescent="0.25"/>
    <row r="8939" s="1" customFormat="1" ht="15.95" customHeight="1" x14ac:dyDescent="0.25"/>
    <row r="8940" s="1" customFormat="1" ht="15.95" customHeight="1" x14ac:dyDescent="0.25"/>
    <row r="8941" s="1" customFormat="1" ht="15.95" customHeight="1" x14ac:dyDescent="0.25"/>
    <row r="8942" s="1" customFormat="1" ht="15.95" customHeight="1" x14ac:dyDescent="0.25"/>
    <row r="8943" s="1" customFormat="1" ht="15.95" customHeight="1" x14ac:dyDescent="0.25"/>
    <row r="8944" s="1" customFormat="1" ht="15.95" customHeight="1" x14ac:dyDescent="0.25"/>
    <row r="8945" s="1" customFormat="1" ht="15.95" customHeight="1" x14ac:dyDescent="0.25"/>
    <row r="8946" s="1" customFormat="1" ht="15.95" customHeight="1" x14ac:dyDescent="0.25"/>
    <row r="8947" s="1" customFormat="1" ht="15.95" customHeight="1" x14ac:dyDescent="0.25"/>
    <row r="8948" s="1" customFormat="1" ht="15.95" customHeight="1" x14ac:dyDescent="0.25"/>
    <row r="8949" s="1" customFormat="1" ht="15.95" customHeight="1" x14ac:dyDescent="0.25"/>
    <row r="8950" s="1" customFormat="1" ht="15.95" customHeight="1" x14ac:dyDescent="0.25"/>
    <row r="8951" s="1" customFormat="1" ht="15.95" customHeight="1" x14ac:dyDescent="0.25"/>
    <row r="8952" s="1" customFormat="1" ht="15.95" customHeight="1" x14ac:dyDescent="0.25"/>
    <row r="8953" s="1" customFormat="1" ht="15.95" customHeight="1" x14ac:dyDescent="0.25"/>
    <row r="8954" s="1" customFormat="1" ht="15.95" customHeight="1" x14ac:dyDescent="0.25"/>
    <row r="8955" s="1" customFormat="1" ht="15.95" customHeight="1" x14ac:dyDescent="0.25"/>
    <row r="8956" s="1" customFormat="1" ht="15.95" customHeight="1" x14ac:dyDescent="0.25"/>
    <row r="8957" s="1" customFormat="1" ht="15.95" customHeight="1" x14ac:dyDescent="0.25"/>
    <row r="8958" s="1" customFormat="1" ht="15.95" customHeight="1" x14ac:dyDescent="0.25"/>
    <row r="8959" s="1" customFormat="1" ht="15.95" customHeight="1" x14ac:dyDescent="0.25"/>
    <row r="8960" s="1" customFormat="1" ht="15.95" customHeight="1" x14ac:dyDescent="0.25"/>
    <row r="8961" s="1" customFormat="1" ht="15.95" customHeight="1" x14ac:dyDescent="0.25"/>
    <row r="8962" s="1" customFormat="1" ht="15.95" customHeight="1" x14ac:dyDescent="0.25"/>
    <row r="8963" s="1" customFormat="1" ht="15.95" customHeight="1" x14ac:dyDescent="0.25"/>
    <row r="8964" s="1" customFormat="1" ht="15.95" customHeight="1" x14ac:dyDescent="0.25"/>
    <row r="8965" s="1" customFormat="1" ht="15.95" customHeight="1" x14ac:dyDescent="0.25"/>
    <row r="8966" s="1" customFormat="1" ht="15.95" customHeight="1" x14ac:dyDescent="0.25"/>
    <row r="8967" s="1" customFormat="1" ht="15.95" customHeight="1" x14ac:dyDescent="0.25"/>
    <row r="8968" s="1" customFormat="1" ht="15.95" customHeight="1" x14ac:dyDescent="0.25"/>
    <row r="8969" s="1" customFormat="1" ht="15.95" customHeight="1" x14ac:dyDescent="0.25"/>
    <row r="8970" s="1" customFormat="1" ht="15.95" customHeight="1" x14ac:dyDescent="0.25"/>
    <row r="8971" s="1" customFormat="1" ht="15.95" customHeight="1" x14ac:dyDescent="0.25"/>
    <row r="8972" s="1" customFormat="1" ht="15.95" customHeight="1" x14ac:dyDescent="0.25"/>
    <row r="8973" s="1" customFormat="1" ht="15.95" customHeight="1" x14ac:dyDescent="0.25"/>
    <row r="8974" s="1" customFormat="1" ht="15.95" customHeight="1" x14ac:dyDescent="0.25"/>
    <row r="8975" s="1" customFormat="1" ht="15.95" customHeight="1" x14ac:dyDescent="0.25"/>
    <row r="8976" s="1" customFormat="1" ht="15.95" customHeight="1" x14ac:dyDescent="0.25"/>
    <row r="8977" s="1" customFormat="1" ht="15.95" customHeight="1" x14ac:dyDescent="0.25"/>
    <row r="8978" s="1" customFormat="1" ht="15.95" customHeight="1" x14ac:dyDescent="0.25"/>
    <row r="8979" s="1" customFormat="1" ht="15.95" customHeight="1" x14ac:dyDescent="0.25"/>
    <row r="8980" s="1" customFormat="1" ht="15.95" customHeight="1" x14ac:dyDescent="0.25"/>
    <row r="8981" s="1" customFormat="1" ht="15.95" customHeight="1" x14ac:dyDescent="0.25"/>
    <row r="8982" s="1" customFormat="1" ht="15.95" customHeight="1" x14ac:dyDescent="0.25"/>
    <row r="8983" s="1" customFormat="1" ht="15.95" customHeight="1" x14ac:dyDescent="0.25"/>
    <row r="8984" s="1" customFormat="1" ht="15.95" customHeight="1" x14ac:dyDescent="0.25"/>
    <row r="8985" s="1" customFormat="1" ht="15.95" customHeight="1" x14ac:dyDescent="0.25"/>
    <row r="8986" s="1" customFormat="1" ht="15.95" customHeight="1" x14ac:dyDescent="0.25"/>
    <row r="8987" s="1" customFormat="1" ht="15.95" customHeight="1" x14ac:dyDescent="0.25"/>
    <row r="8988" s="1" customFormat="1" ht="15.95" customHeight="1" x14ac:dyDescent="0.25"/>
    <row r="8989" s="1" customFormat="1" ht="15.95" customHeight="1" x14ac:dyDescent="0.25"/>
    <row r="8990" s="1" customFormat="1" ht="15.95" customHeight="1" x14ac:dyDescent="0.25"/>
    <row r="8991" s="1" customFormat="1" ht="15.95" customHeight="1" x14ac:dyDescent="0.25"/>
    <row r="8992" s="1" customFormat="1" ht="15.95" customHeight="1" x14ac:dyDescent="0.25"/>
    <row r="8993" s="1" customFormat="1" ht="15.95" customHeight="1" x14ac:dyDescent="0.25"/>
    <row r="8994" s="1" customFormat="1" ht="15.95" customHeight="1" x14ac:dyDescent="0.25"/>
    <row r="8995" s="1" customFormat="1" ht="15.95" customHeight="1" x14ac:dyDescent="0.25"/>
    <row r="8996" s="1" customFormat="1" ht="15.95" customHeight="1" x14ac:dyDescent="0.25"/>
    <row r="8997" s="1" customFormat="1" ht="15.95" customHeight="1" x14ac:dyDescent="0.25"/>
    <row r="8998" s="1" customFormat="1" ht="15.95" customHeight="1" x14ac:dyDescent="0.25"/>
    <row r="8999" s="1" customFormat="1" ht="15.95" customHeight="1" x14ac:dyDescent="0.25"/>
    <row r="9000" s="1" customFormat="1" ht="15.95" customHeight="1" x14ac:dyDescent="0.25"/>
    <row r="9001" s="1" customFormat="1" ht="15.95" customHeight="1" x14ac:dyDescent="0.25"/>
    <row r="9002" s="1" customFormat="1" ht="15.95" customHeight="1" x14ac:dyDescent="0.25"/>
    <row r="9003" s="1" customFormat="1" ht="15.95" customHeight="1" x14ac:dyDescent="0.25"/>
    <row r="9004" s="1" customFormat="1" ht="15.95" customHeight="1" x14ac:dyDescent="0.25"/>
    <row r="9005" s="1" customFormat="1" ht="15.95" customHeight="1" x14ac:dyDescent="0.25"/>
    <row r="9006" s="1" customFormat="1" ht="15.95" customHeight="1" x14ac:dyDescent="0.25"/>
    <row r="9007" s="1" customFormat="1" ht="15.95" customHeight="1" x14ac:dyDescent="0.25"/>
    <row r="9008" s="1" customFormat="1" ht="15.95" customHeight="1" x14ac:dyDescent="0.25"/>
    <row r="9009" s="1" customFormat="1" ht="15.95" customHeight="1" x14ac:dyDescent="0.25"/>
    <row r="9010" s="1" customFormat="1" ht="15.95" customHeight="1" x14ac:dyDescent="0.25"/>
    <row r="9011" s="1" customFormat="1" ht="15.95" customHeight="1" x14ac:dyDescent="0.25"/>
    <row r="9012" s="1" customFormat="1" ht="15.95" customHeight="1" x14ac:dyDescent="0.25"/>
    <row r="9013" s="1" customFormat="1" ht="15.95" customHeight="1" x14ac:dyDescent="0.25"/>
    <row r="9014" s="1" customFormat="1" ht="15.95" customHeight="1" x14ac:dyDescent="0.25"/>
    <row r="9015" s="1" customFormat="1" ht="15.95" customHeight="1" x14ac:dyDescent="0.25"/>
    <row r="9016" s="1" customFormat="1" ht="15.95" customHeight="1" x14ac:dyDescent="0.25"/>
    <row r="9017" s="1" customFormat="1" ht="15.95" customHeight="1" x14ac:dyDescent="0.25"/>
    <row r="9018" s="1" customFormat="1" ht="15.95" customHeight="1" x14ac:dyDescent="0.25"/>
    <row r="9019" s="1" customFormat="1" ht="15.95" customHeight="1" x14ac:dyDescent="0.25"/>
    <row r="9020" s="1" customFormat="1" ht="15.95" customHeight="1" x14ac:dyDescent="0.25"/>
    <row r="9021" s="1" customFormat="1" ht="15.95" customHeight="1" x14ac:dyDescent="0.25"/>
    <row r="9022" s="1" customFormat="1" ht="15.95" customHeight="1" x14ac:dyDescent="0.25"/>
    <row r="9023" s="1" customFormat="1" ht="15.95" customHeight="1" x14ac:dyDescent="0.25"/>
    <row r="9024" s="1" customFormat="1" ht="15.95" customHeight="1" x14ac:dyDescent="0.25"/>
    <row r="9025" s="1" customFormat="1" ht="15.95" customHeight="1" x14ac:dyDescent="0.25"/>
    <row r="9026" s="1" customFormat="1" ht="15.95" customHeight="1" x14ac:dyDescent="0.25"/>
    <row r="9027" s="1" customFormat="1" ht="15.95" customHeight="1" x14ac:dyDescent="0.25"/>
    <row r="9028" s="1" customFormat="1" ht="15.95" customHeight="1" x14ac:dyDescent="0.25"/>
    <row r="9029" s="1" customFormat="1" ht="15.95" customHeight="1" x14ac:dyDescent="0.25"/>
    <row r="9030" s="1" customFormat="1" ht="15.95" customHeight="1" x14ac:dyDescent="0.25"/>
    <row r="9031" s="1" customFormat="1" ht="15.95" customHeight="1" x14ac:dyDescent="0.25"/>
    <row r="9032" s="1" customFormat="1" ht="15.95" customHeight="1" x14ac:dyDescent="0.25"/>
    <row r="9033" s="1" customFormat="1" ht="15.95" customHeight="1" x14ac:dyDescent="0.25"/>
    <row r="9034" s="1" customFormat="1" ht="15.95" customHeight="1" x14ac:dyDescent="0.25"/>
    <row r="9035" s="1" customFormat="1" ht="15.95" customHeight="1" x14ac:dyDescent="0.25"/>
    <row r="9036" s="1" customFormat="1" ht="15.95" customHeight="1" x14ac:dyDescent="0.25"/>
    <row r="9037" s="1" customFormat="1" ht="15.95" customHeight="1" x14ac:dyDescent="0.25"/>
    <row r="9038" s="1" customFormat="1" ht="15.95" customHeight="1" x14ac:dyDescent="0.25"/>
    <row r="9039" s="1" customFormat="1" ht="15.95" customHeight="1" x14ac:dyDescent="0.25"/>
    <row r="9040" s="1" customFormat="1" ht="15.95" customHeight="1" x14ac:dyDescent="0.25"/>
    <row r="9041" s="1" customFormat="1" ht="15.95" customHeight="1" x14ac:dyDescent="0.25"/>
    <row r="9042" s="1" customFormat="1" ht="15.95" customHeight="1" x14ac:dyDescent="0.25"/>
    <row r="9043" s="1" customFormat="1" ht="15.95" customHeight="1" x14ac:dyDescent="0.25"/>
    <row r="9044" s="1" customFormat="1" ht="15.95" customHeight="1" x14ac:dyDescent="0.25"/>
    <row r="9045" s="1" customFormat="1" ht="15.95" customHeight="1" x14ac:dyDescent="0.25"/>
    <row r="9046" s="1" customFormat="1" ht="15.95" customHeight="1" x14ac:dyDescent="0.25"/>
    <row r="9047" s="1" customFormat="1" ht="15.95" customHeight="1" x14ac:dyDescent="0.25"/>
    <row r="9048" s="1" customFormat="1" ht="15.95" customHeight="1" x14ac:dyDescent="0.25"/>
    <row r="9049" s="1" customFormat="1" ht="15.95" customHeight="1" x14ac:dyDescent="0.25"/>
    <row r="9050" s="1" customFormat="1" ht="15.95" customHeight="1" x14ac:dyDescent="0.25"/>
    <row r="9051" s="1" customFormat="1" ht="15.95" customHeight="1" x14ac:dyDescent="0.25"/>
    <row r="9052" s="1" customFormat="1" ht="15.95" customHeight="1" x14ac:dyDescent="0.25"/>
    <row r="9053" s="1" customFormat="1" ht="15.95" customHeight="1" x14ac:dyDescent="0.25"/>
    <row r="9054" s="1" customFormat="1" ht="15.95" customHeight="1" x14ac:dyDescent="0.25"/>
    <row r="9055" s="1" customFormat="1" ht="15.95" customHeight="1" x14ac:dyDescent="0.25"/>
    <row r="9056" s="1" customFormat="1" ht="15.95" customHeight="1" x14ac:dyDescent="0.25"/>
    <row r="9057" s="1" customFormat="1" ht="15.95" customHeight="1" x14ac:dyDescent="0.25"/>
    <row r="9058" s="1" customFormat="1" ht="15.95" customHeight="1" x14ac:dyDescent="0.25"/>
    <row r="9059" s="1" customFormat="1" ht="15.95" customHeight="1" x14ac:dyDescent="0.25"/>
    <row r="9060" s="1" customFormat="1" ht="15.95" customHeight="1" x14ac:dyDescent="0.25"/>
    <row r="9061" s="1" customFormat="1" ht="15.95" customHeight="1" x14ac:dyDescent="0.25"/>
    <row r="9062" s="1" customFormat="1" ht="15.95" customHeight="1" x14ac:dyDescent="0.25"/>
    <row r="9063" s="1" customFormat="1" ht="15.95" customHeight="1" x14ac:dyDescent="0.25"/>
    <row r="9064" s="1" customFormat="1" ht="15.95" customHeight="1" x14ac:dyDescent="0.25"/>
    <row r="9065" s="1" customFormat="1" ht="15.95" customHeight="1" x14ac:dyDescent="0.25"/>
    <row r="9066" s="1" customFormat="1" ht="15.95" customHeight="1" x14ac:dyDescent="0.25"/>
    <row r="9067" s="1" customFormat="1" ht="15.95" customHeight="1" x14ac:dyDescent="0.25"/>
    <row r="9068" s="1" customFormat="1" ht="15.95" customHeight="1" x14ac:dyDescent="0.25"/>
    <row r="9069" s="1" customFormat="1" ht="15.95" customHeight="1" x14ac:dyDescent="0.25"/>
    <row r="9070" s="1" customFormat="1" ht="15.95" customHeight="1" x14ac:dyDescent="0.25"/>
    <row r="9071" s="1" customFormat="1" ht="15.95" customHeight="1" x14ac:dyDescent="0.25"/>
    <row r="9072" s="1" customFormat="1" ht="15.95" customHeight="1" x14ac:dyDescent="0.25"/>
    <row r="9073" s="1" customFormat="1" ht="15.95" customHeight="1" x14ac:dyDescent="0.25"/>
    <row r="9074" s="1" customFormat="1" ht="15.95" customHeight="1" x14ac:dyDescent="0.25"/>
    <row r="9075" s="1" customFormat="1" ht="15.95" customHeight="1" x14ac:dyDescent="0.25"/>
    <row r="9076" s="1" customFormat="1" ht="15.95" customHeight="1" x14ac:dyDescent="0.25"/>
    <row r="9077" s="1" customFormat="1" ht="15.95" customHeight="1" x14ac:dyDescent="0.25"/>
    <row r="9078" s="1" customFormat="1" ht="15.95" customHeight="1" x14ac:dyDescent="0.25"/>
    <row r="9079" s="1" customFormat="1" ht="15.95" customHeight="1" x14ac:dyDescent="0.25"/>
    <row r="9080" s="1" customFormat="1" ht="15.95" customHeight="1" x14ac:dyDescent="0.25"/>
    <row r="9081" s="1" customFormat="1" ht="15.95" customHeight="1" x14ac:dyDescent="0.25"/>
    <row r="9082" s="1" customFormat="1" ht="15.95" customHeight="1" x14ac:dyDescent="0.25"/>
    <row r="9083" s="1" customFormat="1" ht="15.95" customHeight="1" x14ac:dyDescent="0.25"/>
    <row r="9084" s="1" customFormat="1" ht="15.95" customHeight="1" x14ac:dyDescent="0.25"/>
    <row r="9085" s="1" customFormat="1" ht="15.95" customHeight="1" x14ac:dyDescent="0.25"/>
    <row r="9086" s="1" customFormat="1" ht="15.95" customHeight="1" x14ac:dyDescent="0.25"/>
    <row r="9087" s="1" customFormat="1" ht="15.95" customHeight="1" x14ac:dyDescent="0.25"/>
    <row r="9088" s="1" customFormat="1" ht="15.95" customHeight="1" x14ac:dyDescent="0.25"/>
    <row r="9089" s="1" customFormat="1" ht="15.95" customHeight="1" x14ac:dyDescent="0.25"/>
    <row r="9090" s="1" customFormat="1" ht="15.95" customHeight="1" x14ac:dyDescent="0.25"/>
    <row r="9091" s="1" customFormat="1" ht="15.95" customHeight="1" x14ac:dyDescent="0.25"/>
    <row r="9092" s="1" customFormat="1" ht="15.95" customHeight="1" x14ac:dyDescent="0.25"/>
    <row r="9093" s="1" customFormat="1" ht="15.95" customHeight="1" x14ac:dyDescent="0.25"/>
    <row r="9094" s="1" customFormat="1" ht="15.95" customHeight="1" x14ac:dyDescent="0.25"/>
    <row r="9095" s="1" customFormat="1" ht="15.95" customHeight="1" x14ac:dyDescent="0.25"/>
    <row r="9096" s="1" customFormat="1" ht="15.95" customHeight="1" x14ac:dyDescent="0.25"/>
    <row r="9097" s="1" customFormat="1" ht="15.95" customHeight="1" x14ac:dyDescent="0.25"/>
    <row r="9098" s="1" customFormat="1" ht="15.95" customHeight="1" x14ac:dyDescent="0.25"/>
    <row r="9099" s="1" customFormat="1" ht="15.95" customHeight="1" x14ac:dyDescent="0.25"/>
    <row r="9100" s="1" customFormat="1" ht="15.95" customHeight="1" x14ac:dyDescent="0.25"/>
    <row r="9101" s="1" customFormat="1" ht="15.95" customHeight="1" x14ac:dyDescent="0.25"/>
    <row r="9102" s="1" customFormat="1" ht="15.95" customHeight="1" x14ac:dyDescent="0.25"/>
    <row r="9103" s="1" customFormat="1" ht="15.95" customHeight="1" x14ac:dyDescent="0.25"/>
    <row r="9104" s="1" customFormat="1" ht="15.95" customHeight="1" x14ac:dyDescent="0.25"/>
    <row r="9105" s="1" customFormat="1" ht="15.95" customHeight="1" x14ac:dyDescent="0.25"/>
    <row r="9106" s="1" customFormat="1" ht="15.95" customHeight="1" x14ac:dyDescent="0.25"/>
    <row r="9107" s="1" customFormat="1" ht="15.95" customHeight="1" x14ac:dyDescent="0.25"/>
    <row r="9108" s="1" customFormat="1" ht="15.95" customHeight="1" x14ac:dyDescent="0.25"/>
    <row r="9109" s="1" customFormat="1" ht="15.95" customHeight="1" x14ac:dyDescent="0.25"/>
    <row r="9110" s="1" customFormat="1" ht="15.95" customHeight="1" x14ac:dyDescent="0.25"/>
    <row r="9111" s="1" customFormat="1" ht="15.95" customHeight="1" x14ac:dyDescent="0.25"/>
    <row r="9112" s="1" customFormat="1" ht="15.95" customHeight="1" x14ac:dyDescent="0.25"/>
    <row r="9113" s="1" customFormat="1" ht="15.95" customHeight="1" x14ac:dyDescent="0.25"/>
    <row r="9114" s="1" customFormat="1" ht="15.95" customHeight="1" x14ac:dyDescent="0.25"/>
    <row r="9115" s="1" customFormat="1" ht="15.95" customHeight="1" x14ac:dyDescent="0.25"/>
    <row r="9116" s="1" customFormat="1" ht="15.95" customHeight="1" x14ac:dyDescent="0.25"/>
    <row r="9117" s="1" customFormat="1" ht="15.95" customHeight="1" x14ac:dyDescent="0.25"/>
    <row r="9118" s="1" customFormat="1" ht="15.95" customHeight="1" x14ac:dyDescent="0.25"/>
    <row r="9119" s="1" customFormat="1" ht="15.95" customHeight="1" x14ac:dyDescent="0.25"/>
    <row r="9120" s="1" customFormat="1" ht="15.95" customHeight="1" x14ac:dyDescent="0.25"/>
    <row r="9121" s="1" customFormat="1" ht="15.95" customHeight="1" x14ac:dyDescent="0.25"/>
    <row r="9122" s="1" customFormat="1" ht="15.95" customHeight="1" x14ac:dyDescent="0.25"/>
    <row r="9123" s="1" customFormat="1" ht="15.95" customHeight="1" x14ac:dyDescent="0.25"/>
    <row r="9124" s="1" customFormat="1" ht="15.95" customHeight="1" x14ac:dyDescent="0.25"/>
    <row r="9125" s="1" customFormat="1" ht="15.95" customHeight="1" x14ac:dyDescent="0.25"/>
    <row r="9126" s="1" customFormat="1" ht="15.95" customHeight="1" x14ac:dyDescent="0.25"/>
    <row r="9127" s="1" customFormat="1" ht="15.95" customHeight="1" x14ac:dyDescent="0.25"/>
    <row r="9128" s="1" customFormat="1" ht="15.95" customHeight="1" x14ac:dyDescent="0.25"/>
    <row r="9129" s="1" customFormat="1" ht="15.95" customHeight="1" x14ac:dyDescent="0.25"/>
    <row r="9130" s="1" customFormat="1" ht="15.95" customHeight="1" x14ac:dyDescent="0.25"/>
    <row r="9131" s="1" customFormat="1" ht="15.95" customHeight="1" x14ac:dyDescent="0.25"/>
    <row r="9132" s="1" customFormat="1" ht="15.95" customHeight="1" x14ac:dyDescent="0.25"/>
    <row r="9133" s="1" customFormat="1" ht="15.95" customHeight="1" x14ac:dyDescent="0.25"/>
    <row r="9134" s="1" customFormat="1" ht="15.95" customHeight="1" x14ac:dyDescent="0.25"/>
    <row r="9135" s="1" customFormat="1" ht="15.95" customHeight="1" x14ac:dyDescent="0.25"/>
    <row r="9136" s="1" customFormat="1" ht="15.95" customHeight="1" x14ac:dyDescent="0.25"/>
    <row r="9137" s="1" customFormat="1" ht="15.95" customHeight="1" x14ac:dyDescent="0.25"/>
    <row r="9138" s="1" customFormat="1" ht="15.95" customHeight="1" x14ac:dyDescent="0.25"/>
    <row r="9139" s="1" customFormat="1" ht="15.95" customHeight="1" x14ac:dyDescent="0.25"/>
    <row r="9140" s="1" customFormat="1" ht="15.95" customHeight="1" x14ac:dyDescent="0.25"/>
    <row r="9141" s="1" customFormat="1" ht="15.95" customHeight="1" x14ac:dyDescent="0.25"/>
    <row r="9142" s="1" customFormat="1" ht="15.95" customHeight="1" x14ac:dyDescent="0.25"/>
    <row r="9143" s="1" customFormat="1" ht="15.95" customHeight="1" x14ac:dyDescent="0.25"/>
    <row r="9144" s="1" customFormat="1" ht="15.95" customHeight="1" x14ac:dyDescent="0.25"/>
    <row r="9145" s="1" customFormat="1" ht="15.95" customHeight="1" x14ac:dyDescent="0.25"/>
    <row r="9146" s="1" customFormat="1" ht="15.95" customHeight="1" x14ac:dyDescent="0.25"/>
    <row r="9147" s="1" customFormat="1" ht="15.95" customHeight="1" x14ac:dyDescent="0.25"/>
    <row r="9148" s="1" customFormat="1" ht="15.95" customHeight="1" x14ac:dyDescent="0.25"/>
    <row r="9149" s="1" customFormat="1" ht="15.95" customHeight="1" x14ac:dyDescent="0.25"/>
    <row r="9150" s="1" customFormat="1" ht="15.95" customHeight="1" x14ac:dyDescent="0.25"/>
    <row r="9151" s="1" customFormat="1" ht="15.95" customHeight="1" x14ac:dyDescent="0.25"/>
    <row r="9152" s="1" customFormat="1" ht="15.95" customHeight="1" x14ac:dyDescent="0.25"/>
    <row r="9153" s="1" customFormat="1" ht="15.95" customHeight="1" x14ac:dyDescent="0.25"/>
    <row r="9154" s="1" customFormat="1" ht="15.95" customHeight="1" x14ac:dyDescent="0.25"/>
    <row r="9155" s="1" customFormat="1" ht="15.95" customHeight="1" x14ac:dyDescent="0.25"/>
    <row r="9156" s="1" customFormat="1" ht="15.95" customHeight="1" x14ac:dyDescent="0.25"/>
    <row r="9157" s="1" customFormat="1" ht="15.95" customHeight="1" x14ac:dyDescent="0.25"/>
    <row r="9158" s="1" customFormat="1" ht="15.95" customHeight="1" x14ac:dyDescent="0.25"/>
    <row r="9159" s="1" customFormat="1" ht="15.95" customHeight="1" x14ac:dyDescent="0.25"/>
    <row r="9160" s="1" customFormat="1" ht="15.95" customHeight="1" x14ac:dyDescent="0.25"/>
    <row r="9161" s="1" customFormat="1" ht="15.95" customHeight="1" x14ac:dyDescent="0.25"/>
    <row r="9162" s="1" customFormat="1" ht="15.95" customHeight="1" x14ac:dyDescent="0.25"/>
    <row r="9163" s="1" customFormat="1" ht="15.95" customHeight="1" x14ac:dyDescent="0.25"/>
    <row r="9164" s="1" customFormat="1" ht="15.95" customHeight="1" x14ac:dyDescent="0.25"/>
    <row r="9165" s="1" customFormat="1" ht="15.95" customHeight="1" x14ac:dyDescent="0.25"/>
    <row r="9166" s="1" customFormat="1" ht="15.95" customHeight="1" x14ac:dyDescent="0.25"/>
    <row r="9167" s="1" customFormat="1" ht="15.95" customHeight="1" x14ac:dyDescent="0.25"/>
    <row r="9168" s="1" customFormat="1" ht="15.95" customHeight="1" x14ac:dyDescent="0.25"/>
    <row r="9169" s="1" customFormat="1" ht="15.95" customHeight="1" x14ac:dyDescent="0.25"/>
    <row r="9170" s="1" customFormat="1" ht="15.95" customHeight="1" x14ac:dyDescent="0.25"/>
    <row r="9171" s="1" customFormat="1" ht="15.95" customHeight="1" x14ac:dyDescent="0.25"/>
    <row r="9172" s="1" customFormat="1" ht="15.95" customHeight="1" x14ac:dyDescent="0.25"/>
    <row r="9173" s="1" customFormat="1" ht="15.95" customHeight="1" x14ac:dyDescent="0.25"/>
    <row r="9174" s="1" customFormat="1" ht="15.95" customHeight="1" x14ac:dyDescent="0.25"/>
    <row r="9175" s="1" customFormat="1" ht="15.95" customHeight="1" x14ac:dyDescent="0.25"/>
    <row r="9176" s="1" customFormat="1" ht="15.95" customHeight="1" x14ac:dyDescent="0.25"/>
    <row r="9177" s="1" customFormat="1" ht="15.95" customHeight="1" x14ac:dyDescent="0.25"/>
    <row r="9178" s="1" customFormat="1" ht="15.95" customHeight="1" x14ac:dyDescent="0.25"/>
    <row r="9179" s="1" customFormat="1" ht="15.95" customHeight="1" x14ac:dyDescent="0.25"/>
    <row r="9180" s="1" customFormat="1" ht="15.95" customHeight="1" x14ac:dyDescent="0.25"/>
    <row r="9181" s="1" customFormat="1" ht="15.95" customHeight="1" x14ac:dyDescent="0.25"/>
    <row r="9182" s="1" customFormat="1" ht="15.95" customHeight="1" x14ac:dyDescent="0.25"/>
    <row r="9183" s="1" customFormat="1" ht="15.95" customHeight="1" x14ac:dyDescent="0.25"/>
    <row r="9184" s="1" customFormat="1" ht="15.95" customHeight="1" x14ac:dyDescent="0.25"/>
    <row r="9185" s="1" customFormat="1" ht="15.95" customHeight="1" x14ac:dyDescent="0.25"/>
    <row r="9186" s="1" customFormat="1" ht="15.95" customHeight="1" x14ac:dyDescent="0.25"/>
    <row r="9187" s="1" customFormat="1" ht="15.95" customHeight="1" x14ac:dyDescent="0.25"/>
    <row r="9188" s="1" customFormat="1" ht="15.95" customHeight="1" x14ac:dyDescent="0.25"/>
    <row r="9189" s="1" customFormat="1" ht="15.95" customHeight="1" x14ac:dyDescent="0.25"/>
    <row r="9190" s="1" customFormat="1" ht="15.95" customHeight="1" x14ac:dyDescent="0.25"/>
    <row r="9191" s="1" customFormat="1" ht="15.95" customHeight="1" x14ac:dyDescent="0.25"/>
    <row r="9192" s="1" customFormat="1" ht="15.95" customHeight="1" x14ac:dyDescent="0.25"/>
    <row r="9193" s="1" customFormat="1" ht="15.95" customHeight="1" x14ac:dyDescent="0.25"/>
    <row r="9194" s="1" customFormat="1" ht="15.95" customHeight="1" x14ac:dyDescent="0.25"/>
    <row r="9195" s="1" customFormat="1" ht="15.95" customHeight="1" x14ac:dyDescent="0.25"/>
    <row r="9196" s="1" customFormat="1" ht="15.95" customHeight="1" x14ac:dyDescent="0.25"/>
    <row r="9197" s="1" customFormat="1" ht="15.95" customHeight="1" x14ac:dyDescent="0.25"/>
    <row r="9198" s="1" customFormat="1" ht="15.95" customHeight="1" x14ac:dyDescent="0.25"/>
    <row r="9199" s="1" customFormat="1" ht="15.95" customHeight="1" x14ac:dyDescent="0.25"/>
    <row r="9200" s="1" customFormat="1" ht="15.95" customHeight="1" x14ac:dyDescent="0.25"/>
    <row r="9201" s="1" customFormat="1" ht="15.95" customHeight="1" x14ac:dyDescent="0.25"/>
    <row r="9202" s="1" customFormat="1" ht="15.95" customHeight="1" x14ac:dyDescent="0.25"/>
    <row r="9203" s="1" customFormat="1" ht="15.95" customHeight="1" x14ac:dyDescent="0.25"/>
    <row r="9204" s="1" customFormat="1" ht="15.95" customHeight="1" x14ac:dyDescent="0.25"/>
    <row r="9205" s="1" customFormat="1" ht="15.95" customHeight="1" x14ac:dyDescent="0.25"/>
    <row r="9206" s="1" customFormat="1" ht="15.95" customHeight="1" x14ac:dyDescent="0.25"/>
    <row r="9207" s="1" customFormat="1" ht="15.95" customHeight="1" x14ac:dyDescent="0.25"/>
    <row r="9208" s="1" customFormat="1" ht="15.95" customHeight="1" x14ac:dyDescent="0.25"/>
    <row r="9209" s="1" customFormat="1" ht="15.95" customHeight="1" x14ac:dyDescent="0.25"/>
    <row r="9210" s="1" customFormat="1" ht="15.95" customHeight="1" x14ac:dyDescent="0.25"/>
    <row r="9211" s="1" customFormat="1" ht="15.95" customHeight="1" x14ac:dyDescent="0.25"/>
    <row r="9212" s="1" customFormat="1" ht="15.95" customHeight="1" x14ac:dyDescent="0.25"/>
    <row r="9213" s="1" customFormat="1" ht="15.95" customHeight="1" x14ac:dyDescent="0.25"/>
    <row r="9214" s="1" customFormat="1" ht="15.95" customHeight="1" x14ac:dyDescent="0.25"/>
    <row r="9215" s="1" customFormat="1" ht="15.95" customHeight="1" x14ac:dyDescent="0.25"/>
    <row r="9216" s="1" customFormat="1" ht="15.95" customHeight="1" x14ac:dyDescent="0.25"/>
    <row r="9217" s="1" customFormat="1" ht="15.95" customHeight="1" x14ac:dyDescent="0.25"/>
    <row r="9218" s="1" customFormat="1" ht="15.95" customHeight="1" x14ac:dyDescent="0.25"/>
    <row r="9219" s="1" customFormat="1" ht="15.95" customHeight="1" x14ac:dyDescent="0.25"/>
    <row r="9220" s="1" customFormat="1" ht="15.95" customHeight="1" x14ac:dyDescent="0.25"/>
    <row r="9221" s="1" customFormat="1" ht="15.95" customHeight="1" x14ac:dyDescent="0.25"/>
    <row r="9222" s="1" customFormat="1" ht="15.95" customHeight="1" x14ac:dyDescent="0.25"/>
    <row r="9223" s="1" customFormat="1" ht="15.95" customHeight="1" x14ac:dyDescent="0.25"/>
    <row r="9224" s="1" customFormat="1" ht="15.95" customHeight="1" x14ac:dyDescent="0.25"/>
    <row r="9225" s="1" customFormat="1" ht="15.95" customHeight="1" x14ac:dyDescent="0.25"/>
    <row r="9226" s="1" customFormat="1" ht="15.95" customHeight="1" x14ac:dyDescent="0.25"/>
    <row r="9227" s="1" customFormat="1" ht="15.95" customHeight="1" x14ac:dyDescent="0.25"/>
    <row r="9228" s="1" customFormat="1" ht="15.95" customHeight="1" x14ac:dyDescent="0.25"/>
    <row r="9229" s="1" customFormat="1" ht="15.95" customHeight="1" x14ac:dyDescent="0.25"/>
    <row r="9230" s="1" customFormat="1" ht="15.95" customHeight="1" x14ac:dyDescent="0.25"/>
    <row r="9231" s="1" customFormat="1" ht="15.95" customHeight="1" x14ac:dyDescent="0.25"/>
    <row r="9232" s="1" customFormat="1" ht="15.95" customHeight="1" x14ac:dyDescent="0.25"/>
    <row r="9233" s="1" customFormat="1" ht="15.95" customHeight="1" x14ac:dyDescent="0.25"/>
    <row r="9234" s="1" customFormat="1" ht="15.95" customHeight="1" x14ac:dyDescent="0.25"/>
    <row r="9235" s="1" customFormat="1" ht="15.95" customHeight="1" x14ac:dyDescent="0.25"/>
    <row r="9236" s="1" customFormat="1" ht="15.95" customHeight="1" x14ac:dyDescent="0.25"/>
    <row r="9237" s="1" customFormat="1" ht="15.95" customHeight="1" x14ac:dyDescent="0.25"/>
    <row r="9238" s="1" customFormat="1" ht="15.95" customHeight="1" x14ac:dyDescent="0.25"/>
    <row r="9239" s="1" customFormat="1" ht="15.95" customHeight="1" x14ac:dyDescent="0.25"/>
    <row r="9240" s="1" customFormat="1" ht="15.95" customHeight="1" x14ac:dyDescent="0.25"/>
    <row r="9241" s="1" customFormat="1" ht="15.95" customHeight="1" x14ac:dyDescent="0.25"/>
    <row r="9242" s="1" customFormat="1" ht="15.95" customHeight="1" x14ac:dyDescent="0.25"/>
    <row r="9243" s="1" customFormat="1" ht="15.95" customHeight="1" x14ac:dyDescent="0.25"/>
    <row r="9244" s="1" customFormat="1" ht="15.95" customHeight="1" x14ac:dyDescent="0.25"/>
    <row r="9245" s="1" customFormat="1" ht="15.95" customHeight="1" x14ac:dyDescent="0.25"/>
    <row r="9246" s="1" customFormat="1" ht="15.95" customHeight="1" x14ac:dyDescent="0.25"/>
    <row r="9247" s="1" customFormat="1" ht="15.95" customHeight="1" x14ac:dyDescent="0.25"/>
    <row r="9248" s="1" customFormat="1" ht="15.95" customHeight="1" x14ac:dyDescent="0.25"/>
    <row r="9249" s="1" customFormat="1" ht="15.95" customHeight="1" x14ac:dyDescent="0.25"/>
    <row r="9250" s="1" customFormat="1" ht="15.95" customHeight="1" x14ac:dyDescent="0.25"/>
    <row r="9251" s="1" customFormat="1" ht="15.95" customHeight="1" x14ac:dyDescent="0.25"/>
    <row r="9252" s="1" customFormat="1" ht="15.95" customHeight="1" x14ac:dyDescent="0.25"/>
    <row r="9253" s="1" customFormat="1" ht="15.95" customHeight="1" x14ac:dyDescent="0.25"/>
    <row r="9254" s="1" customFormat="1" ht="15.95" customHeight="1" x14ac:dyDescent="0.25"/>
    <row r="9255" s="1" customFormat="1" ht="15.95" customHeight="1" x14ac:dyDescent="0.25"/>
    <row r="9256" s="1" customFormat="1" ht="15.95" customHeight="1" x14ac:dyDescent="0.25"/>
    <row r="9257" s="1" customFormat="1" ht="15.95" customHeight="1" x14ac:dyDescent="0.25"/>
    <row r="9258" s="1" customFormat="1" ht="15.95" customHeight="1" x14ac:dyDescent="0.25"/>
    <row r="9259" s="1" customFormat="1" ht="15.95" customHeight="1" x14ac:dyDescent="0.25"/>
    <row r="9260" s="1" customFormat="1" ht="15.95" customHeight="1" x14ac:dyDescent="0.25"/>
    <row r="9261" s="1" customFormat="1" ht="15.95" customHeight="1" x14ac:dyDescent="0.25"/>
    <row r="9262" s="1" customFormat="1" ht="15.95" customHeight="1" x14ac:dyDescent="0.25"/>
    <row r="9263" s="1" customFormat="1" ht="15.95" customHeight="1" x14ac:dyDescent="0.25"/>
    <row r="9264" s="1" customFormat="1" ht="15.95" customHeight="1" x14ac:dyDescent="0.25"/>
    <row r="9265" s="1" customFormat="1" ht="15.95" customHeight="1" x14ac:dyDescent="0.25"/>
    <row r="9266" s="1" customFormat="1" ht="15.95" customHeight="1" x14ac:dyDescent="0.25"/>
    <row r="9267" s="1" customFormat="1" ht="15.95" customHeight="1" x14ac:dyDescent="0.25"/>
    <row r="9268" s="1" customFormat="1" ht="15.95" customHeight="1" x14ac:dyDescent="0.25"/>
    <row r="9269" s="1" customFormat="1" ht="15.95" customHeight="1" x14ac:dyDescent="0.25"/>
    <row r="9270" s="1" customFormat="1" ht="15.95" customHeight="1" x14ac:dyDescent="0.25"/>
    <row r="9271" s="1" customFormat="1" ht="15.95" customHeight="1" x14ac:dyDescent="0.25"/>
    <row r="9272" s="1" customFormat="1" ht="15.95" customHeight="1" x14ac:dyDescent="0.25"/>
    <row r="9273" s="1" customFormat="1" ht="15.95" customHeight="1" x14ac:dyDescent="0.25"/>
    <row r="9274" s="1" customFormat="1" ht="15.95" customHeight="1" x14ac:dyDescent="0.25"/>
    <row r="9275" s="1" customFormat="1" ht="15.95" customHeight="1" x14ac:dyDescent="0.25"/>
    <row r="9276" s="1" customFormat="1" ht="15.95" customHeight="1" x14ac:dyDescent="0.25"/>
    <row r="9277" s="1" customFormat="1" ht="15.95" customHeight="1" x14ac:dyDescent="0.25"/>
    <row r="9278" s="1" customFormat="1" ht="15.95" customHeight="1" x14ac:dyDescent="0.25"/>
    <row r="9279" s="1" customFormat="1" ht="15.95" customHeight="1" x14ac:dyDescent="0.25"/>
    <row r="9280" s="1" customFormat="1" ht="15.95" customHeight="1" x14ac:dyDescent="0.25"/>
    <row r="9281" s="1" customFormat="1" ht="15.95" customHeight="1" x14ac:dyDescent="0.25"/>
    <row r="9282" s="1" customFormat="1" ht="15.95" customHeight="1" x14ac:dyDescent="0.25"/>
    <row r="9283" s="1" customFormat="1" ht="15.95" customHeight="1" x14ac:dyDescent="0.25"/>
    <row r="9284" s="1" customFormat="1" ht="15.95" customHeight="1" x14ac:dyDescent="0.25"/>
    <row r="9285" s="1" customFormat="1" ht="15.95" customHeight="1" x14ac:dyDescent="0.25"/>
    <row r="9286" s="1" customFormat="1" ht="15.95" customHeight="1" x14ac:dyDescent="0.25"/>
    <row r="9287" s="1" customFormat="1" ht="15.95" customHeight="1" x14ac:dyDescent="0.25"/>
    <row r="9288" s="1" customFormat="1" ht="15.95" customHeight="1" x14ac:dyDescent="0.25"/>
    <row r="9289" s="1" customFormat="1" ht="15.95" customHeight="1" x14ac:dyDescent="0.25"/>
    <row r="9290" s="1" customFormat="1" ht="15.95" customHeight="1" x14ac:dyDescent="0.25"/>
    <row r="9291" s="1" customFormat="1" ht="15.95" customHeight="1" x14ac:dyDescent="0.25"/>
    <row r="9292" s="1" customFormat="1" ht="15.95" customHeight="1" x14ac:dyDescent="0.25"/>
    <row r="9293" s="1" customFormat="1" ht="15.95" customHeight="1" x14ac:dyDescent="0.25"/>
    <row r="9294" s="1" customFormat="1" ht="15.95" customHeight="1" x14ac:dyDescent="0.25"/>
    <row r="9295" s="1" customFormat="1" ht="15.95" customHeight="1" x14ac:dyDescent="0.25"/>
    <row r="9296" s="1" customFormat="1" ht="15.95" customHeight="1" x14ac:dyDescent="0.25"/>
    <row r="9297" s="1" customFormat="1" ht="15.95" customHeight="1" x14ac:dyDescent="0.25"/>
    <row r="9298" s="1" customFormat="1" ht="15.95" customHeight="1" x14ac:dyDescent="0.25"/>
    <row r="9299" s="1" customFormat="1" ht="15.95" customHeight="1" x14ac:dyDescent="0.25"/>
    <row r="9300" s="1" customFormat="1" ht="15.95" customHeight="1" x14ac:dyDescent="0.25"/>
    <row r="9301" s="1" customFormat="1" ht="15.95" customHeight="1" x14ac:dyDescent="0.25"/>
    <row r="9302" s="1" customFormat="1" ht="15.95" customHeight="1" x14ac:dyDescent="0.25"/>
    <row r="9303" s="1" customFormat="1" ht="15.95" customHeight="1" x14ac:dyDescent="0.25"/>
    <row r="9304" s="1" customFormat="1" ht="15.95" customHeight="1" x14ac:dyDescent="0.25"/>
    <row r="9305" s="1" customFormat="1" ht="15.95" customHeight="1" x14ac:dyDescent="0.25"/>
    <row r="9306" s="1" customFormat="1" ht="15.95" customHeight="1" x14ac:dyDescent="0.25"/>
    <row r="9307" s="1" customFormat="1" ht="15.95" customHeight="1" x14ac:dyDescent="0.25"/>
    <row r="9308" s="1" customFormat="1" ht="15.95" customHeight="1" x14ac:dyDescent="0.25"/>
    <row r="9309" s="1" customFormat="1" ht="15.95" customHeight="1" x14ac:dyDescent="0.25"/>
    <row r="9310" s="1" customFormat="1" ht="15.95" customHeight="1" x14ac:dyDescent="0.25"/>
    <row r="9311" s="1" customFormat="1" ht="15.95" customHeight="1" x14ac:dyDescent="0.25"/>
    <row r="9312" s="1" customFormat="1" ht="15.95" customHeight="1" x14ac:dyDescent="0.25"/>
    <row r="9313" s="1" customFormat="1" ht="15.95" customHeight="1" x14ac:dyDescent="0.25"/>
    <row r="9314" s="1" customFormat="1" ht="15.95" customHeight="1" x14ac:dyDescent="0.25"/>
    <row r="9315" s="1" customFormat="1" ht="15.95" customHeight="1" x14ac:dyDescent="0.25"/>
    <row r="9316" s="1" customFormat="1" ht="15.95" customHeight="1" x14ac:dyDescent="0.25"/>
    <row r="9317" s="1" customFormat="1" ht="15.95" customHeight="1" x14ac:dyDescent="0.25"/>
    <row r="9318" s="1" customFormat="1" ht="15.95" customHeight="1" x14ac:dyDescent="0.25"/>
    <row r="9319" s="1" customFormat="1" ht="15.95" customHeight="1" x14ac:dyDescent="0.25"/>
    <row r="9320" s="1" customFormat="1" ht="15.95" customHeight="1" x14ac:dyDescent="0.25"/>
    <row r="9321" s="1" customFormat="1" ht="15.95" customHeight="1" x14ac:dyDescent="0.25"/>
    <row r="9322" s="1" customFormat="1" ht="15.95" customHeight="1" x14ac:dyDescent="0.25"/>
    <row r="9323" s="1" customFormat="1" ht="15.95" customHeight="1" x14ac:dyDescent="0.25"/>
    <row r="9324" s="1" customFormat="1" ht="15.95" customHeight="1" x14ac:dyDescent="0.25"/>
    <row r="9325" s="1" customFormat="1" ht="15.95" customHeight="1" x14ac:dyDescent="0.25"/>
    <row r="9326" s="1" customFormat="1" ht="15.95" customHeight="1" x14ac:dyDescent="0.25"/>
    <row r="9327" s="1" customFormat="1" ht="15.95" customHeight="1" x14ac:dyDescent="0.25"/>
    <row r="9328" s="1" customFormat="1" ht="15.95" customHeight="1" x14ac:dyDescent="0.25"/>
    <row r="9329" s="1" customFormat="1" ht="15.95" customHeight="1" x14ac:dyDescent="0.25"/>
    <row r="9330" s="1" customFormat="1" ht="15.95" customHeight="1" x14ac:dyDescent="0.25"/>
    <row r="9331" s="1" customFormat="1" ht="15.95" customHeight="1" x14ac:dyDescent="0.25"/>
    <row r="9332" s="1" customFormat="1" ht="15.95" customHeight="1" x14ac:dyDescent="0.25"/>
    <row r="9333" s="1" customFormat="1" ht="15.95" customHeight="1" x14ac:dyDescent="0.25"/>
    <row r="9334" s="1" customFormat="1" ht="15.95" customHeight="1" x14ac:dyDescent="0.25"/>
    <row r="9335" s="1" customFormat="1" ht="15.95" customHeight="1" x14ac:dyDescent="0.25"/>
    <row r="9336" s="1" customFormat="1" ht="15.95" customHeight="1" x14ac:dyDescent="0.25"/>
    <row r="9337" s="1" customFormat="1" ht="15.95" customHeight="1" x14ac:dyDescent="0.25"/>
    <row r="9338" s="1" customFormat="1" ht="15.95" customHeight="1" x14ac:dyDescent="0.25"/>
    <row r="9339" s="1" customFormat="1" ht="15.95" customHeight="1" x14ac:dyDescent="0.25"/>
    <row r="9340" s="1" customFormat="1" ht="15.95" customHeight="1" x14ac:dyDescent="0.25"/>
    <row r="9341" s="1" customFormat="1" ht="15.95" customHeight="1" x14ac:dyDescent="0.25"/>
    <row r="9342" s="1" customFormat="1" ht="15.95" customHeight="1" x14ac:dyDescent="0.25"/>
    <row r="9343" s="1" customFormat="1" ht="15.95" customHeight="1" x14ac:dyDescent="0.25"/>
    <row r="9344" s="1" customFormat="1" ht="15.95" customHeight="1" x14ac:dyDescent="0.25"/>
    <row r="9345" s="1" customFormat="1" ht="15.95" customHeight="1" x14ac:dyDescent="0.25"/>
    <row r="9346" s="1" customFormat="1" ht="15.95" customHeight="1" x14ac:dyDescent="0.25"/>
    <row r="9347" s="1" customFormat="1" ht="15.95" customHeight="1" x14ac:dyDescent="0.25"/>
    <row r="9348" s="1" customFormat="1" ht="15.95" customHeight="1" x14ac:dyDescent="0.25"/>
    <row r="9349" s="1" customFormat="1" ht="15.95" customHeight="1" x14ac:dyDescent="0.25"/>
    <row r="9350" s="1" customFormat="1" ht="15.95" customHeight="1" x14ac:dyDescent="0.25"/>
    <row r="9351" s="1" customFormat="1" ht="15.95" customHeight="1" x14ac:dyDescent="0.25"/>
    <row r="9352" s="1" customFormat="1" ht="15.95" customHeight="1" x14ac:dyDescent="0.25"/>
    <row r="9353" s="1" customFormat="1" ht="15.95" customHeight="1" x14ac:dyDescent="0.25"/>
    <row r="9354" s="1" customFormat="1" ht="15.95" customHeight="1" x14ac:dyDescent="0.25"/>
    <row r="9355" s="1" customFormat="1" ht="15.95" customHeight="1" x14ac:dyDescent="0.25"/>
    <row r="9356" s="1" customFormat="1" ht="15.95" customHeight="1" x14ac:dyDescent="0.25"/>
    <row r="9357" s="1" customFormat="1" ht="15.95" customHeight="1" x14ac:dyDescent="0.25"/>
    <row r="9358" s="1" customFormat="1" ht="15.95" customHeight="1" x14ac:dyDescent="0.25"/>
    <row r="9359" s="1" customFormat="1" ht="15.95" customHeight="1" x14ac:dyDescent="0.25"/>
    <row r="9360" s="1" customFormat="1" ht="15.95" customHeight="1" x14ac:dyDescent="0.25"/>
    <row r="9361" s="1" customFormat="1" ht="15.95" customHeight="1" x14ac:dyDescent="0.25"/>
    <row r="9362" s="1" customFormat="1" ht="15.95" customHeight="1" x14ac:dyDescent="0.25"/>
    <row r="9363" s="1" customFormat="1" ht="15.95" customHeight="1" x14ac:dyDescent="0.25"/>
    <row r="9364" s="1" customFormat="1" ht="15.95" customHeight="1" x14ac:dyDescent="0.25"/>
    <row r="9365" s="1" customFormat="1" ht="15.95" customHeight="1" x14ac:dyDescent="0.25"/>
    <row r="9366" s="1" customFormat="1" ht="15.95" customHeight="1" x14ac:dyDescent="0.25"/>
    <row r="9367" s="1" customFormat="1" ht="15.95" customHeight="1" x14ac:dyDescent="0.25"/>
    <row r="9368" s="1" customFormat="1" ht="15.95" customHeight="1" x14ac:dyDescent="0.25"/>
    <row r="9369" s="1" customFormat="1" ht="15.95" customHeight="1" x14ac:dyDescent="0.25"/>
    <row r="9370" s="1" customFormat="1" ht="15.95" customHeight="1" x14ac:dyDescent="0.25"/>
    <row r="9371" s="1" customFormat="1" ht="15.95" customHeight="1" x14ac:dyDescent="0.25"/>
    <row r="9372" s="1" customFormat="1" ht="15.95" customHeight="1" x14ac:dyDescent="0.25"/>
    <row r="9373" s="1" customFormat="1" ht="15.95" customHeight="1" x14ac:dyDescent="0.25"/>
    <row r="9374" s="1" customFormat="1" ht="15.95" customHeight="1" x14ac:dyDescent="0.25"/>
    <row r="9375" s="1" customFormat="1" ht="15.95" customHeight="1" x14ac:dyDescent="0.25"/>
    <row r="9376" s="1" customFormat="1" ht="15.95" customHeight="1" x14ac:dyDescent="0.25"/>
    <row r="9377" s="1" customFormat="1" ht="15.95" customHeight="1" x14ac:dyDescent="0.25"/>
    <row r="9378" s="1" customFormat="1" ht="15.95" customHeight="1" x14ac:dyDescent="0.25"/>
    <row r="9379" s="1" customFormat="1" ht="15.95" customHeight="1" x14ac:dyDescent="0.25"/>
    <row r="9380" s="1" customFormat="1" ht="15.95" customHeight="1" x14ac:dyDescent="0.25"/>
    <row r="9381" s="1" customFormat="1" ht="15.95" customHeight="1" x14ac:dyDescent="0.25"/>
    <row r="9382" s="1" customFormat="1" ht="15.95" customHeight="1" x14ac:dyDescent="0.25"/>
    <row r="9383" s="1" customFormat="1" ht="15.95" customHeight="1" x14ac:dyDescent="0.25"/>
    <row r="9384" s="1" customFormat="1" ht="15.95" customHeight="1" x14ac:dyDescent="0.25"/>
    <row r="9385" s="1" customFormat="1" ht="15.95" customHeight="1" x14ac:dyDescent="0.25"/>
    <row r="9386" s="1" customFormat="1" ht="15.95" customHeight="1" x14ac:dyDescent="0.25"/>
    <row r="9387" s="1" customFormat="1" ht="15.95" customHeight="1" x14ac:dyDescent="0.25"/>
    <row r="9388" s="1" customFormat="1" ht="15.95" customHeight="1" x14ac:dyDescent="0.25"/>
    <row r="9389" s="1" customFormat="1" ht="15.95" customHeight="1" x14ac:dyDescent="0.25"/>
    <row r="9390" s="1" customFormat="1" ht="15.95" customHeight="1" x14ac:dyDescent="0.25"/>
    <row r="9391" s="1" customFormat="1" ht="15.95" customHeight="1" x14ac:dyDescent="0.25"/>
    <row r="9392" s="1" customFormat="1" ht="15.95" customHeight="1" x14ac:dyDescent="0.25"/>
    <row r="9393" s="1" customFormat="1" ht="15.95" customHeight="1" x14ac:dyDescent="0.25"/>
    <row r="9394" s="1" customFormat="1" ht="15.95" customHeight="1" x14ac:dyDescent="0.25"/>
    <row r="9395" s="1" customFormat="1" ht="15.95" customHeight="1" x14ac:dyDescent="0.25"/>
    <row r="9396" s="1" customFormat="1" ht="15.95" customHeight="1" x14ac:dyDescent="0.25"/>
    <row r="9397" s="1" customFormat="1" ht="15.95" customHeight="1" x14ac:dyDescent="0.25"/>
    <row r="9398" s="1" customFormat="1" ht="15.95" customHeight="1" x14ac:dyDescent="0.25"/>
    <row r="9399" s="1" customFormat="1" ht="15.95" customHeight="1" x14ac:dyDescent="0.25"/>
    <row r="9400" s="1" customFormat="1" ht="15.95" customHeight="1" x14ac:dyDescent="0.25"/>
    <row r="9401" s="1" customFormat="1" ht="15.95" customHeight="1" x14ac:dyDescent="0.25"/>
    <row r="9402" s="1" customFormat="1" ht="15.95" customHeight="1" x14ac:dyDescent="0.25"/>
    <row r="9403" s="1" customFormat="1" ht="15.95" customHeight="1" x14ac:dyDescent="0.25"/>
    <row r="9404" s="1" customFormat="1" ht="15.95" customHeight="1" x14ac:dyDescent="0.25"/>
    <row r="9405" s="1" customFormat="1" ht="15.95" customHeight="1" x14ac:dyDescent="0.25"/>
    <row r="9406" s="1" customFormat="1" ht="15.95" customHeight="1" x14ac:dyDescent="0.25"/>
    <row r="9407" s="1" customFormat="1" ht="15.95" customHeight="1" x14ac:dyDescent="0.25"/>
    <row r="9408" s="1" customFormat="1" ht="15.95" customHeight="1" x14ac:dyDescent="0.25"/>
    <row r="9409" s="1" customFormat="1" ht="15.95" customHeight="1" x14ac:dyDescent="0.25"/>
    <row r="9410" s="1" customFormat="1" ht="15.95" customHeight="1" x14ac:dyDescent="0.25"/>
    <row r="9411" s="1" customFormat="1" ht="15.95" customHeight="1" x14ac:dyDescent="0.25"/>
    <row r="9412" s="1" customFormat="1" ht="15.95" customHeight="1" x14ac:dyDescent="0.25"/>
    <row r="9413" s="1" customFormat="1" ht="15.95" customHeight="1" x14ac:dyDescent="0.25"/>
    <row r="9414" s="1" customFormat="1" ht="15.95" customHeight="1" x14ac:dyDescent="0.25"/>
    <row r="9415" s="1" customFormat="1" ht="15.95" customHeight="1" x14ac:dyDescent="0.25"/>
    <row r="9416" s="1" customFormat="1" ht="15.95" customHeight="1" x14ac:dyDescent="0.25"/>
    <row r="9417" s="1" customFormat="1" ht="15.95" customHeight="1" x14ac:dyDescent="0.25"/>
    <row r="9418" s="1" customFormat="1" ht="15.95" customHeight="1" x14ac:dyDescent="0.25"/>
    <row r="9419" s="1" customFormat="1" ht="15.95" customHeight="1" x14ac:dyDescent="0.25"/>
    <row r="9420" s="1" customFormat="1" ht="15.95" customHeight="1" x14ac:dyDescent="0.25"/>
    <row r="9421" s="1" customFormat="1" ht="15.95" customHeight="1" x14ac:dyDescent="0.25"/>
    <row r="9422" s="1" customFormat="1" ht="15.95" customHeight="1" x14ac:dyDescent="0.25"/>
    <row r="9423" s="1" customFormat="1" ht="15.95" customHeight="1" x14ac:dyDescent="0.25"/>
    <row r="9424" s="1" customFormat="1" ht="15.95" customHeight="1" x14ac:dyDescent="0.25"/>
    <row r="9425" s="1" customFormat="1" ht="15.95" customHeight="1" x14ac:dyDescent="0.25"/>
    <row r="9426" s="1" customFormat="1" ht="15.95" customHeight="1" x14ac:dyDescent="0.25"/>
    <row r="9427" s="1" customFormat="1" ht="15.95" customHeight="1" x14ac:dyDescent="0.25"/>
    <row r="9428" s="1" customFormat="1" ht="15.95" customHeight="1" x14ac:dyDescent="0.25"/>
    <row r="9429" s="1" customFormat="1" ht="15.95" customHeight="1" x14ac:dyDescent="0.25"/>
    <row r="9430" s="1" customFormat="1" ht="15.95" customHeight="1" x14ac:dyDescent="0.25"/>
    <row r="9431" s="1" customFormat="1" ht="15.95" customHeight="1" x14ac:dyDescent="0.25"/>
    <row r="9432" s="1" customFormat="1" ht="15.95" customHeight="1" x14ac:dyDescent="0.25"/>
    <row r="9433" s="1" customFormat="1" ht="15.95" customHeight="1" x14ac:dyDescent="0.25"/>
    <row r="9434" s="1" customFormat="1" ht="15.95" customHeight="1" x14ac:dyDescent="0.25"/>
    <row r="9435" s="1" customFormat="1" ht="15.95" customHeight="1" x14ac:dyDescent="0.25"/>
    <row r="9436" s="1" customFormat="1" ht="15.95" customHeight="1" x14ac:dyDescent="0.25"/>
    <row r="9437" s="1" customFormat="1" ht="15.95" customHeight="1" x14ac:dyDescent="0.25"/>
    <row r="9438" s="1" customFormat="1" ht="15.95" customHeight="1" x14ac:dyDescent="0.25"/>
    <row r="9439" s="1" customFormat="1" ht="15.95" customHeight="1" x14ac:dyDescent="0.25"/>
    <row r="9440" s="1" customFormat="1" ht="15.95" customHeight="1" x14ac:dyDescent="0.25"/>
    <row r="9441" s="1" customFormat="1" ht="15.95" customHeight="1" x14ac:dyDescent="0.25"/>
    <row r="9442" s="1" customFormat="1" ht="15.95" customHeight="1" x14ac:dyDescent="0.25"/>
    <row r="9443" s="1" customFormat="1" ht="15.95" customHeight="1" x14ac:dyDescent="0.25"/>
    <row r="9444" s="1" customFormat="1" ht="15.95" customHeight="1" x14ac:dyDescent="0.25"/>
    <row r="9445" s="1" customFormat="1" ht="15.95" customHeight="1" x14ac:dyDescent="0.25"/>
    <row r="9446" s="1" customFormat="1" ht="15.95" customHeight="1" x14ac:dyDescent="0.25"/>
    <row r="9447" s="1" customFormat="1" ht="15.95" customHeight="1" x14ac:dyDescent="0.25"/>
    <row r="9448" s="1" customFormat="1" ht="15.95" customHeight="1" x14ac:dyDescent="0.25"/>
    <row r="9449" s="1" customFormat="1" ht="15.95" customHeight="1" x14ac:dyDescent="0.25"/>
    <row r="9450" s="1" customFormat="1" ht="15.95" customHeight="1" x14ac:dyDescent="0.25"/>
    <row r="9451" s="1" customFormat="1" ht="15.95" customHeight="1" x14ac:dyDescent="0.25"/>
    <row r="9452" s="1" customFormat="1" ht="15.95" customHeight="1" x14ac:dyDescent="0.25"/>
    <row r="9453" s="1" customFormat="1" ht="15.95" customHeight="1" x14ac:dyDescent="0.25"/>
    <row r="9454" s="1" customFormat="1" ht="15.95" customHeight="1" x14ac:dyDescent="0.25"/>
    <row r="9455" s="1" customFormat="1" ht="15.95" customHeight="1" x14ac:dyDescent="0.25"/>
    <row r="9456" s="1" customFormat="1" ht="15.95" customHeight="1" x14ac:dyDescent="0.25"/>
    <row r="9457" s="1" customFormat="1" ht="15.95" customHeight="1" x14ac:dyDescent="0.25"/>
    <row r="9458" s="1" customFormat="1" ht="15.95" customHeight="1" x14ac:dyDescent="0.25"/>
    <row r="9459" s="1" customFormat="1" ht="15.95" customHeight="1" x14ac:dyDescent="0.25"/>
    <row r="9460" s="1" customFormat="1" ht="15.95" customHeight="1" x14ac:dyDescent="0.25"/>
    <row r="9461" s="1" customFormat="1" ht="15.95" customHeight="1" x14ac:dyDescent="0.25"/>
    <row r="9462" s="1" customFormat="1" ht="15.95" customHeight="1" x14ac:dyDescent="0.25"/>
    <row r="9463" s="1" customFormat="1" ht="15.95" customHeight="1" x14ac:dyDescent="0.25"/>
    <row r="9464" s="1" customFormat="1" ht="15.95" customHeight="1" x14ac:dyDescent="0.25"/>
    <row r="9465" s="1" customFormat="1" ht="15.95" customHeight="1" x14ac:dyDescent="0.25"/>
    <row r="9466" s="1" customFormat="1" ht="15.95" customHeight="1" x14ac:dyDescent="0.25"/>
    <row r="9467" s="1" customFormat="1" ht="15.95" customHeight="1" x14ac:dyDescent="0.25"/>
    <row r="9468" s="1" customFormat="1" ht="15.95" customHeight="1" x14ac:dyDescent="0.25"/>
    <row r="9469" s="1" customFormat="1" ht="15.95" customHeight="1" x14ac:dyDescent="0.25"/>
    <row r="9470" s="1" customFormat="1" ht="15.95" customHeight="1" x14ac:dyDescent="0.25"/>
    <row r="9471" s="1" customFormat="1" ht="15.95" customHeight="1" x14ac:dyDescent="0.25"/>
    <row r="9472" s="1" customFormat="1" ht="15.95" customHeight="1" x14ac:dyDescent="0.25"/>
    <row r="9473" s="1" customFormat="1" ht="15.95" customHeight="1" x14ac:dyDescent="0.25"/>
    <row r="9474" s="1" customFormat="1" ht="15.95" customHeight="1" x14ac:dyDescent="0.25"/>
    <row r="9475" s="1" customFormat="1" ht="15.95" customHeight="1" x14ac:dyDescent="0.25"/>
    <row r="9476" s="1" customFormat="1" ht="15.95" customHeight="1" x14ac:dyDescent="0.25"/>
    <row r="9477" s="1" customFormat="1" ht="15.95" customHeight="1" x14ac:dyDescent="0.25"/>
    <row r="9478" s="1" customFormat="1" ht="15.95" customHeight="1" x14ac:dyDescent="0.25"/>
    <row r="9479" s="1" customFormat="1" ht="15.95" customHeight="1" x14ac:dyDescent="0.25"/>
    <row r="9480" s="1" customFormat="1" ht="15.95" customHeight="1" x14ac:dyDescent="0.25"/>
    <row r="9481" s="1" customFormat="1" ht="15.95" customHeight="1" x14ac:dyDescent="0.25"/>
    <row r="9482" s="1" customFormat="1" ht="15.95" customHeight="1" x14ac:dyDescent="0.25"/>
    <row r="9483" s="1" customFormat="1" ht="15.95" customHeight="1" x14ac:dyDescent="0.25"/>
    <row r="9484" s="1" customFormat="1" ht="15.95" customHeight="1" x14ac:dyDescent="0.25"/>
    <row r="9485" s="1" customFormat="1" ht="15.95" customHeight="1" x14ac:dyDescent="0.25"/>
    <row r="9486" s="1" customFormat="1" ht="15.95" customHeight="1" x14ac:dyDescent="0.25"/>
    <row r="9487" s="1" customFormat="1" ht="15.95" customHeight="1" x14ac:dyDescent="0.25"/>
    <row r="9488" s="1" customFormat="1" ht="15.95" customHeight="1" x14ac:dyDescent="0.25"/>
    <row r="9489" s="1" customFormat="1" ht="15.95" customHeight="1" x14ac:dyDescent="0.25"/>
    <row r="9490" s="1" customFormat="1" ht="15.95" customHeight="1" x14ac:dyDescent="0.25"/>
    <row r="9491" s="1" customFormat="1" ht="15.95" customHeight="1" x14ac:dyDescent="0.25"/>
    <row r="9492" s="1" customFormat="1" ht="15.95" customHeight="1" x14ac:dyDescent="0.25"/>
    <row r="9493" s="1" customFormat="1" ht="15.95" customHeight="1" x14ac:dyDescent="0.25"/>
    <row r="9494" s="1" customFormat="1" ht="15.95" customHeight="1" x14ac:dyDescent="0.25"/>
    <row r="9495" s="1" customFormat="1" ht="15.95" customHeight="1" x14ac:dyDescent="0.25"/>
    <row r="9496" s="1" customFormat="1" ht="15.95" customHeight="1" x14ac:dyDescent="0.25"/>
    <row r="9497" s="1" customFormat="1" ht="15.95" customHeight="1" x14ac:dyDescent="0.25"/>
    <row r="9498" s="1" customFormat="1" ht="15.95" customHeight="1" x14ac:dyDescent="0.25"/>
    <row r="9499" s="1" customFormat="1" ht="15.95" customHeight="1" x14ac:dyDescent="0.25"/>
    <row r="9500" s="1" customFormat="1" ht="15.95" customHeight="1" x14ac:dyDescent="0.25"/>
    <row r="9501" s="1" customFormat="1" ht="15.95" customHeight="1" x14ac:dyDescent="0.25"/>
    <row r="9502" s="1" customFormat="1" ht="15.95" customHeight="1" x14ac:dyDescent="0.25"/>
    <row r="9503" s="1" customFormat="1" ht="15.95" customHeight="1" x14ac:dyDescent="0.25"/>
    <row r="9504" s="1" customFormat="1" ht="15.95" customHeight="1" x14ac:dyDescent="0.25"/>
    <row r="9505" s="1" customFormat="1" ht="15.95" customHeight="1" x14ac:dyDescent="0.25"/>
    <row r="9506" s="1" customFormat="1" ht="15.95" customHeight="1" x14ac:dyDescent="0.25"/>
    <row r="9507" s="1" customFormat="1" ht="15.95" customHeight="1" x14ac:dyDescent="0.25"/>
    <row r="9508" s="1" customFormat="1" ht="15.95" customHeight="1" x14ac:dyDescent="0.25"/>
    <row r="9509" s="1" customFormat="1" ht="15.95" customHeight="1" x14ac:dyDescent="0.25"/>
    <row r="9510" s="1" customFormat="1" ht="15.95" customHeight="1" x14ac:dyDescent="0.25"/>
    <row r="9511" s="1" customFormat="1" ht="15.95" customHeight="1" x14ac:dyDescent="0.25"/>
    <row r="9512" s="1" customFormat="1" ht="15.95" customHeight="1" x14ac:dyDescent="0.25"/>
    <row r="9513" s="1" customFormat="1" ht="15.95" customHeight="1" x14ac:dyDescent="0.25"/>
    <row r="9514" s="1" customFormat="1" ht="15.95" customHeight="1" x14ac:dyDescent="0.25"/>
    <row r="9515" s="1" customFormat="1" ht="15.95" customHeight="1" x14ac:dyDescent="0.25"/>
    <row r="9516" s="1" customFormat="1" ht="15.95" customHeight="1" x14ac:dyDescent="0.25"/>
    <row r="9517" s="1" customFormat="1" ht="15.95" customHeight="1" x14ac:dyDescent="0.25"/>
    <row r="9518" s="1" customFormat="1" ht="15.95" customHeight="1" x14ac:dyDescent="0.25"/>
    <row r="9519" s="1" customFormat="1" ht="15.95" customHeight="1" x14ac:dyDescent="0.25"/>
    <row r="9520" s="1" customFormat="1" ht="15.95" customHeight="1" x14ac:dyDescent="0.25"/>
    <row r="9521" s="1" customFormat="1" ht="15.95" customHeight="1" x14ac:dyDescent="0.25"/>
    <row r="9522" s="1" customFormat="1" ht="15.95" customHeight="1" x14ac:dyDescent="0.25"/>
    <row r="9523" s="1" customFormat="1" ht="15.95" customHeight="1" x14ac:dyDescent="0.25"/>
    <row r="9524" s="1" customFormat="1" ht="15.95" customHeight="1" x14ac:dyDescent="0.25"/>
    <row r="9525" s="1" customFormat="1" ht="15.95" customHeight="1" x14ac:dyDescent="0.25"/>
    <row r="9526" s="1" customFormat="1" ht="15.95" customHeight="1" x14ac:dyDescent="0.25"/>
    <row r="9527" s="1" customFormat="1" ht="15.95" customHeight="1" x14ac:dyDescent="0.25"/>
    <row r="9528" s="1" customFormat="1" ht="15.95" customHeight="1" x14ac:dyDescent="0.25"/>
    <row r="9529" s="1" customFormat="1" ht="15.95" customHeight="1" x14ac:dyDescent="0.25"/>
    <row r="9530" s="1" customFormat="1" ht="15.95" customHeight="1" x14ac:dyDescent="0.25"/>
    <row r="9531" s="1" customFormat="1" ht="15.95" customHeight="1" x14ac:dyDescent="0.25"/>
    <row r="9532" s="1" customFormat="1" ht="15.95" customHeight="1" x14ac:dyDescent="0.25"/>
    <row r="9533" s="1" customFormat="1" ht="15.95" customHeight="1" x14ac:dyDescent="0.25"/>
    <row r="9534" s="1" customFormat="1" ht="15.95" customHeight="1" x14ac:dyDescent="0.25"/>
    <row r="9535" s="1" customFormat="1" ht="15.95" customHeight="1" x14ac:dyDescent="0.25"/>
    <row r="9536" s="1" customFormat="1" ht="15.95" customHeight="1" x14ac:dyDescent="0.25"/>
    <row r="9537" s="1" customFormat="1" ht="15.95" customHeight="1" x14ac:dyDescent="0.25"/>
    <row r="9538" s="1" customFormat="1" ht="15.95" customHeight="1" x14ac:dyDescent="0.25"/>
    <row r="9539" s="1" customFormat="1" ht="15.95" customHeight="1" x14ac:dyDescent="0.25"/>
    <row r="9540" s="1" customFormat="1" ht="15.95" customHeight="1" x14ac:dyDescent="0.25"/>
    <row r="9541" s="1" customFormat="1" ht="15.95" customHeight="1" x14ac:dyDescent="0.25"/>
    <row r="9542" s="1" customFormat="1" ht="15.95" customHeight="1" x14ac:dyDescent="0.25"/>
    <row r="9543" s="1" customFormat="1" ht="15.95" customHeight="1" x14ac:dyDescent="0.25"/>
    <row r="9544" s="1" customFormat="1" ht="15.95" customHeight="1" x14ac:dyDescent="0.25"/>
    <row r="9545" s="1" customFormat="1" ht="15.95" customHeight="1" x14ac:dyDescent="0.25"/>
    <row r="9546" s="1" customFormat="1" ht="15.95" customHeight="1" x14ac:dyDescent="0.25"/>
    <row r="9547" s="1" customFormat="1" ht="15.95" customHeight="1" x14ac:dyDescent="0.25"/>
    <row r="9548" s="1" customFormat="1" ht="15.95" customHeight="1" x14ac:dyDescent="0.25"/>
    <row r="9549" s="1" customFormat="1" ht="15.95" customHeight="1" x14ac:dyDescent="0.25"/>
    <row r="9550" s="1" customFormat="1" ht="15.95" customHeight="1" x14ac:dyDescent="0.25"/>
    <row r="9551" s="1" customFormat="1" ht="15.95" customHeight="1" x14ac:dyDescent="0.25"/>
    <row r="9552" s="1" customFormat="1" ht="15.95" customHeight="1" x14ac:dyDescent="0.25"/>
    <row r="9553" s="1" customFormat="1" ht="15.95" customHeight="1" x14ac:dyDescent="0.25"/>
    <row r="9554" s="1" customFormat="1" ht="15.95" customHeight="1" x14ac:dyDescent="0.25"/>
    <row r="9555" s="1" customFormat="1" ht="15.95" customHeight="1" x14ac:dyDescent="0.25"/>
    <row r="9556" s="1" customFormat="1" ht="15.95" customHeight="1" x14ac:dyDescent="0.25"/>
    <row r="9557" s="1" customFormat="1" ht="15.95" customHeight="1" x14ac:dyDescent="0.25"/>
    <row r="9558" s="1" customFormat="1" ht="15.95" customHeight="1" x14ac:dyDescent="0.25"/>
    <row r="9559" s="1" customFormat="1" ht="15.95" customHeight="1" x14ac:dyDescent="0.25"/>
    <row r="9560" s="1" customFormat="1" ht="15.95" customHeight="1" x14ac:dyDescent="0.25"/>
    <row r="9561" s="1" customFormat="1" ht="15.95" customHeight="1" x14ac:dyDescent="0.25"/>
    <row r="9562" s="1" customFormat="1" ht="15.95" customHeight="1" x14ac:dyDescent="0.25"/>
    <row r="9563" s="1" customFormat="1" ht="15.95" customHeight="1" x14ac:dyDescent="0.25"/>
    <row r="9564" s="1" customFormat="1" ht="15.95" customHeight="1" x14ac:dyDescent="0.25"/>
    <row r="9565" s="1" customFormat="1" ht="15.95" customHeight="1" x14ac:dyDescent="0.25"/>
    <row r="9566" s="1" customFormat="1" ht="15.95" customHeight="1" x14ac:dyDescent="0.25"/>
    <row r="9567" s="1" customFormat="1" ht="15.95" customHeight="1" x14ac:dyDescent="0.25"/>
    <row r="9568" s="1" customFormat="1" ht="15.95" customHeight="1" x14ac:dyDescent="0.25"/>
    <row r="9569" s="1" customFormat="1" ht="15.95" customHeight="1" x14ac:dyDescent="0.25"/>
    <row r="9570" s="1" customFormat="1" ht="15.95" customHeight="1" x14ac:dyDescent="0.25"/>
    <row r="9571" s="1" customFormat="1" ht="15.95" customHeight="1" x14ac:dyDescent="0.25"/>
    <row r="9572" s="1" customFormat="1" ht="15.95" customHeight="1" x14ac:dyDescent="0.25"/>
    <row r="9573" s="1" customFormat="1" ht="15.95" customHeight="1" x14ac:dyDescent="0.25"/>
    <row r="9574" s="1" customFormat="1" ht="15.95" customHeight="1" x14ac:dyDescent="0.25"/>
    <row r="9575" s="1" customFormat="1" ht="15.95" customHeight="1" x14ac:dyDescent="0.25"/>
    <row r="9576" s="1" customFormat="1" ht="15.95" customHeight="1" x14ac:dyDescent="0.25"/>
    <row r="9577" s="1" customFormat="1" ht="15.95" customHeight="1" x14ac:dyDescent="0.25"/>
    <row r="9578" s="1" customFormat="1" ht="15.95" customHeight="1" x14ac:dyDescent="0.25"/>
    <row r="9579" s="1" customFormat="1" ht="15.95" customHeight="1" x14ac:dyDescent="0.25"/>
    <row r="9580" s="1" customFormat="1" ht="15.95" customHeight="1" x14ac:dyDescent="0.25"/>
    <row r="9581" s="1" customFormat="1" ht="15.95" customHeight="1" x14ac:dyDescent="0.25"/>
    <row r="9582" s="1" customFormat="1" ht="15.95" customHeight="1" x14ac:dyDescent="0.25"/>
    <row r="9583" s="1" customFormat="1" ht="15.95" customHeight="1" x14ac:dyDescent="0.25"/>
    <row r="9584" s="1" customFormat="1" ht="15.95" customHeight="1" x14ac:dyDescent="0.25"/>
    <row r="9585" s="1" customFormat="1" ht="15.95" customHeight="1" x14ac:dyDescent="0.25"/>
    <row r="9586" s="1" customFormat="1" ht="15.95" customHeight="1" x14ac:dyDescent="0.25"/>
    <row r="9587" s="1" customFormat="1" ht="15.95" customHeight="1" x14ac:dyDescent="0.25"/>
    <row r="9588" s="1" customFormat="1" ht="15.95" customHeight="1" x14ac:dyDescent="0.25"/>
    <row r="9589" s="1" customFormat="1" ht="15.95" customHeight="1" x14ac:dyDescent="0.25"/>
    <row r="9590" s="1" customFormat="1" ht="15.95" customHeight="1" x14ac:dyDescent="0.25"/>
    <row r="9591" s="1" customFormat="1" ht="15.95" customHeight="1" x14ac:dyDescent="0.25"/>
    <row r="9592" s="1" customFormat="1" ht="15.95" customHeight="1" x14ac:dyDescent="0.25"/>
    <row r="9593" s="1" customFormat="1" ht="15.95" customHeight="1" x14ac:dyDescent="0.25"/>
    <row r="9594" s="1" customFormat="1" ht="15.95" customHeight="1" x14ac:dyDescent="0.25"/>
    <row r="9595" s="1" customFormat="1" ht="15.95" customHeight="1" x14ac:dyDescent="0.25"/>
    <row r="9596" s="1" customFormat="1" ht="15.95" customHeight="1" x14ac:dyDescent="0.25"/>
    <row r="9597" s="1" customFormat="1" ht="15.95" customHeight="1" x14ac:dyDescent="0.25"/>
    <row r="9598" s="1" customFormat="1" ht="15.95" customHeight="1" x14ac:dyDescent="0.25"/>
    <row r="9599" s="1" customFormat="1" ht="15.95" customHeight="1" x14ac:dyDescent="0.25"/>
    <row r="9600" s="1" customFormat="1" ht="15.95" customHeight="1" x14ac:dyDescent="0.25"/>
    <row r="9601" s="1" customFormat="1" ht="15.95" customHeight="1" x14ac:dyDescent="0.25"/>
    <row r="9602" s="1" customFormat="1" ht="15.95" customHeight="1" x14ac:dyDescent="0.25"/>
    <row r="9603" s="1" customFormat="1" ht="15.95" customHeight="1" x14ac:dyDescent="0.25"/>
    <row r="9604" s="1" customFormat="1" ht="15.95" customHeight="1" x14ac:dyDescent="0.25"/>
    <row r="9605" s="1" customFormat="1" ht="15.95" customHeight="1" x14ac:dyDescent="0.25"/>
    <row r="9606" s="1" customFormat="1" ht="15.95" customHeight="1" x14ac:dyDescent="0.25"/>
    <row r="9607" s="1" customFormat="1" ht="15.95" customHeight="1" x14ac:dyDescent="0.25"/>
    <row r="9608" s="1" customFormat="1" ht="15.95" customHeight="1" x14ac:dyDescent="0.25"/>
    <row r="9609" s="1" customFormat="1" ht="15.95" customHeight="1" x14ac:dyDescent="0.25"/>
    <row r="9610" s="1" customFormat="1" ht="15.95" customHeight="1" x14ac:dyDescent="0.25"/>
    <row r="9611" s="1" customFormat="1" ht="15.95" customHeight="1" x14ac:dyDescent="0.25"/>
    <row r="9612" s="1" customFormat="1" ht="15.95" customHeight="1" x14ac:dyDescent="0.25"/>
    <row r="9613" s="1" customFormat="1" ht="15.95" customHeight="1" x14ac:dyDescent="0.25"/>
    <row r="9614" s="1" customFormat="1" ht="15.95" customHeight="1" x14ac:dyDescent="0.25"/>
    <row r="9615" s="1" customFormat="1" ht="15.95" customHeight="1" x14ac:dyDescent="0.25"/>
    <row r="9616" s="1" customFormat="1" ht="15.95" customHeight="1" x14ac:dyDescent="0.25"/>
    <row r="9617" s="1" customFormat="1" ht="15.95" customHeight="1" x14ac:dyDescent="0.25"/>
    <row r="9618" s="1" customFormat="1" ht="15.95" customHeight="1" x14ac:dyDescent="0.25"/>
    <row r="9619" s="1" customFormat="1" ht="15.95" customHeight="1" x14ac:dyDescent="0.25"/>
    <row r="9620" s="1" customFormat="1" ht="15.95" customHeight="1" x14ac:dyDescent="0.25"/>
    <row r="9621" s="1" customFormat="1" ht="15.95" customHeight="1" x14ac:dyDescent="0.25"/>
    <row r="9622" s="1" customFormat="1" ht="15.95" customHeight="1" x14ac:dyDescent="0.25"/>
    <row r="9623" s="1" customFormat="1" ht="15.95" customHeight="1" x14ac:dyDescent="0.25"/>
    <row r="9624" s="1" customFormat="1" ht="15.95" customHeight="1" x14ac:dyDescent="0.25"/>
    <row r="9625" s="1" customFormat="1" ht="15.95" customHeight="1" x14ac:dyDescent="0.25"/>
    <row r="9626" s="1" customFormat="1" ht="15.95" customHeight="1" x14ac:dyDescent="0.25"/>
    <row r="9627" s="1" customFormat="1" ht="15.95" customHeight="1" x14ac:dyDescent="0.25"/>
    <row r="9628" s="1" customFormat="1" ht="15.95" customHeight="1" x14ac:dyDescent="0.25"/>
    <row r="9629" s="1" customFormat="1" ht="15.95" customHeight="1" x14ac:dyDescent="0.25"/>
    <row r="9630" s="1" customFormat="1" ht="15.95" customHeight="1" x14ac:dyDescent="0.25"/>
    <row r="9631" s="1" customFormat="1" ht="15.95" customHeight="1" x14ac:dyDescent="0.25"/>
    <row r="9632" s="1" customFormat="1" ht="15.95" customHeight="1" x14ac:dyDescent="0.25"/>
    <row r="9633" s="1" customFormat="1" ht="15.95" customHeight="1" x14ac:dyDescent="0.25"/>
    <row r="9634" s="1" customFormat="1" ht="15.95" customHeight="1" x14ac:dyDescent="0.25"/>
    <row r="9635" s="1" customFormat="1" ht="15.95" customHeight="1" x14ac:dyDescent="0.25"/>
    <row r="9636" s="1" customFormat="1" ht="15.95" customHeight="1" x14ac:dyDescent="0.25"/>
    <row r="9637" s="1" customFormat="1" ht="15.95" customHeight="1" x14ac:dyDescent="0.25"/>
    <row r="9638" s="1" customFormat="1" ht="15.95" customHeight="1" x14ac:dyDescent="0.25"/>
    <row r="9639" s="1" customFormat="1" ht="15.95" customHeight="1" x14ac:dyDescent="0.25"/>
    <row r="9640" s="1" customFormat="1" ht="15.95" customHeight="1" x14ac:dyDescent="0.25"/>
    <row r="9641" s="1" customFormat="1" ht="15.95" customHeight="1" x14ac:dyDescent="0.25"/>
    <row r="9642" s="1" customFormat="1" ht="15.95" customHeight="1" x14ac:dyDescent="0.25"/>
    <row r="9643" s="1" customFormat="1" ht="15.95" customHeight="1" x14ac:dyDescent="0.25"/>
    <row r="9644" s="1" customFormat="1" ht="15.95" customHeight="1" x14ac:dyDescent="0.25"/>
    <row r="9645" s="1" customFormat="1" ht="15.95" customHeight="1" x14ac:dyDescent="0.25"/>
    <row r="9646" s="1" customFormat="1" ht="15.95" customHeight="1" x14ac:dyDescent="0.25"/>
    <row r="9647" s="1" customFormat="1" ht="15.95" customHeight="1" x14ac:dyDescent="0.25"/>
    <row r="9648" s="1" customFormat="1" ht="15.95" customHeight="1" x14ac:dyDescent="0.25"/>
    <row r="9649" s="1" customFormat="1" ht="15.95" customHeight="1" x14ac:dyDescent="0.25"/>
    <row r="9650" s="1" customFormat="1" ht="15.95" customHeight="1" x14ac:dyDescent="0.25"/>
    <row r="9651" s="1" customFormat="1" ht="15.95" customHeight="1" x14ac:dyDescent="0.25"/>
    <row r="9652" s="1" customFormat="1" ht="15.95" customHeight="1" x14ac:dyDescent="0.25"/>
    <row r="9653" s="1" customFormat="1" ht="15.95" customHeight="1" x14ac:dyDescent="0.25"/>
    <row r="9654" s="1" customFormat="1" ht="15.95" customHeight="1" x14ac:dyDescent="0.25"/>
    <row r="9655" s="1" customFormat="1" ht="15.95" customHeight="1" x14ac:dyDescent="0.25"/>
    <row r="9656" s="1" customFormat="1" ht="15.95" customHeight="1" x14ac:dyDescent="0.25"/>
    <row r="9657" s="1" customFormat="1" ht="15.95" customHeight="1" x14ac:dyDescent="0.25"/>
    <row r="9658" s="1" customFormat="1" ht="15.95" customHeight="1" x14ac:dyDescent="0.25"/>
    <row r="9659" s="1" customFormat="1" ht="15.95" customHeight="1" x14ac:dyDescent="0.25"/>
    <row r="9660" s="1" customFormat="1" ht="15.95" customHeight="1" x14ac:dyDescent="0.25"/>
    <row r="9661" s="1" customFormat="1" ht="15.95" customHeight="1" x14ac:dyDescent="0.25"/>
    <row r="9662" s="1" customFormat="1" ht="15.95" customHeight="1" x14ac:dyDescent="0.25"/>
    <row r="9663" s="1" customFormat="1" ht="15.95" customHeight="1" x14ac:dyDescent="0.25"/>
    <row r="9664" s="1" customFormat="1" ht="15.95" customHeight="1" x14ac:dyDescent="0.25"/>
    <row r="9665" s="1" customFormat="1" ht="15.95" customHeight="1" x14ac:dyDescent="0.25"/>
    <row r="9666" s="1" customFormat="1" ht="15.95" customHeight="1" x14ac:dyDescent="0.25"/>
    <row r="9667" s="1" customFormat="1" ht="15.95" customHeight="1" x14ac:dyDescent="0.25"/>
    <row r="9668" s="1" customFormat="1" ht="15.95" customHeight="1" x14ac:dyDescent="0.25"/>
    <row r="9669" s="1" customFormat="1" ht="15.95" customHeight="1" x14ac:dyDescent="0.25"/>
    <row r="9670" s="1" customFormat="1" ht="15.95" customHeight="1" x14ac:dyDescent="0.25"/>
    <row r="9671" s="1" customFormat="1" ht="15.95" customHeight="1" x14ac:dyDescent="0.25"/>
    <row r="9672" s="1" customFormat="1" ht="15.95" customHeight="1" x14ac:dyDescent="0.25"/>
    <row r="9673" s="1" customFormat="1" ht="15.95" customHeight="1" x14ac:dyDescent="0.25"/>
    <row r="9674" s="1" customFormat="1" ht="15.95" customHeight="1" x14ac:dyDescent="0.25"/>
    <row r="9675" s="1" customFormat="1" ht="15.95" customHeight="1" x14ac:dyDescent="0.25"/>
    <row r="9676" s="1" customFormat="1" ht="15.95" customHeight="1" x14ac:dyDescent="0.25"/>
    <row r="9677" s="1" customFormat="1" ht="15.95" customHeight="1" x14ac:dyDescent="0.25"/>
    <row r="9678" s="1" customFormat="1" ht="15.95" customHeight="1" x14ac:dyDescent="0.25"/>
    <row r="9679" s="1" customFormat="1" ht="15.95" customHeight="1" x14ac:dyDescent="0.25"/>
    <row r="9680" s="1" customFormat="1" ht="15.95" customHeight="1" x14ac:dyDescent="0.25"/>
    <row r="9681" s="1" customFormat="1" ht="15.95" customHeight="1" x14ac:dyDescent="0.25"/>
    <row r="9682" s="1" customFormat="1" ht="15.95" customHeight="1" x14ac:dyDescent="0.25"/>
    <row r="9683" s="1" customFormat="1" ht="15.95" customHeight="1" x14ac:dyDescent="0.25"/>
    <row r="9684" s="1" customFormat="1" ht="15.95" customHeight="1" x14ac:dyDescent="0.25"/>
    <row r="9685" s="1" customFormat="1" ht="15.95" customHeight="1" x14ac:dyDescent="0.25"/>
    <row r="9686" s="1" customFormat="1" ht="15.95" customHeight="1" x14ac:dyDescent="0.25"/>
    <row r="9687" s="1" customFormat="1" ht="15.95" customHeight="1" x14ac:dyDescent="0.25"/>
    <row r="9688" s="1" customFormat="1" ht="15.95" customHeight="1" x14ac:dyDescent="0.25"/>
    <row r="9689" s="1" customFormat="1" ht="15.95" customHeight="1" x14ac:dyDescent="0.25"/>
    <row r="9690" s="1" customFormat="1" ht="15.95" customHeight="1" x14ac:dyDescent="0.25"/>
    <row r="9691" s="1" customFormat="1" ht="15.95" customHeight="1" x14ac:dyDescent="0.25"/>
    <row r="9692" s="1" customFormat="1" ht="15.95" customHeight="1" x14ac:dyDescent="0.25"/>
    <row r="9693" s="1" customFormat="1" ht="15.95" customHeight="1" x14ac:dyDescent="0.25"/>
    <row r="9694" s="1" customFormat="1" ht="15.95" customHeight="1" x14ac:dyDescent="0.25"/>
    <row r="9695" s="1" customFormat="1" ht="15.95" customHeight="1" x14ac:dyDescent="0.25"/>
    <row r="9696" s="1" customFormat="1" ht="15.95" customHeight="1" x14ac:dyDescent="0.25"/>
    <row r="9697" s="1" customFormat="1" ht="15.95" customHeight="1" x14ac:dyDescent="0.25"/>
    <row r="9698" s="1" customFormat="1" ht="15.95" customHeight="1" x14ac:dyDescent="0.25"/>
    <row r="9699" s="1" customFormat="1" ht="15.95" customHeight="1" x14ac:dyDescent="0.25"/>
    <row r="9700" s="1" customFormat="1" ht="15.95" customHeight="1" x14ac:dyDescent="0.25"/>
    <row r="9701" s="1" customFormat="1" ht="15.95" customHeight="1" x14ac:dyDescent="0.25"/>
    <row r="9702" s="1" customFormat="1" ht="15.95" customHeight="1" x14ac:dyDescent="0.25"/>
    <row r="9703" s="1" customFormat="1" ht="15.95" customHeight="1" x14ac:dyDescent="0.25"/>
    <row r="9704" s="1" customFormat="1" ht="15.95" customHeight="1" x14ac:dyDescent="0.25"/>
    <row r="9705" s="1" customFormat="1" ht="15.95" customHeight="1" x14ac:dyDescent="0.25"/>
    <row r="9706" s="1" customFormat="1" ht="15.95" customHeight="1" x14ac:dyDescent="0.25"/>
    <row r="9707" s="1" customFormat="1" ht="15.95" customHeight="1" x14ac:dyDescent="0.25"/>
    <row r="9708" s="1" customFormat="1" ht="15.95" customHeight="1" x14ac:dyDescent="0.25"/>
    <row r="9709" s="1" customFormat="1" ht="15.95" customHeight="1" x14ac:dyDescent="0.25"/>
    <row r="9710" s="1" customFormat="1" ht="15.95" customHeight="1" x14ac:dyDescent="0.25"/>
    <row r="9711" s="1" customFormat="1" ht="15.95" customHeight="1" x14ac:dyDescent="0.25"/>
    <row r="9712" s="1" customFormat="1" ht="15.95" customHeight="1" x14ac:dyDescent="0.25"/>
    <row r="9713" s="1" customFormat="1" ht="15.95" customHeight="1" x14ac:dyDescent="0.25"/>
    <row r="9714" s="1" customFormat="1" ht="15.95" customHeight="1" x14ac:dyDescent="0.25"/>
    <row r="9715" s="1" customFormat="1" ht="15.95" customHeight="1" x14ac:dyDescent="0.25"/>
    <row r="9716" s="1" customFormat="1" ht="15.95" customHeight="1" x14ac:dyDescent="0.25"/>
    <row r="9717" s="1" customFormat="1" ht="15.95" customHeight="1" x14ac:dyDescent="0.25"/>
    <row r="9718" s="1" customFormat="1" ht="15.95" customHeight="1" x14ac:dyDescent="0.25"/>
    <row r="9719" s="1" customFormat="1" ht="15.95" customHeight="1" x14ac:dyDescent="0.25"/>
    <row r="9720" s="1" customFormat="1" ht="15.95" customHeight="1" x14ac:dyDescent="0.25"/>
    <row r="9721" s="1" customFormat="1" ht="15.95" customHeight="1" x14ac:dyDescent="0.25"/>
    <row r="9722" s="1" customFormat="1" ht="15.95" customHeight="1" x14ac:dyDescent="0.25"/>
    <row r="9723" s="1" customFormat="1" ht="15.95" customHeight="1" x14ac:dyDescent="0.25"/>
    <row r="9724" s="1" customFormat="1" ht="15.95" customHeight="1" x14ac:dyDescent="0.25"/>
    <row r="9725" s="1" customFormat="1" ht="15.95" customHeight="1" x14ac:dyDescent="0.25"/>
    <row r="9726" s="1" customFormat="1" ht="15.95" customHeight="1" x14ac:dyDescent="0.25"/>
    <row r="9727" s="1" customFormat="1" ht="15.95" customHeight="1" x14ac:dyDescent="0.25"/>
    <row r="9728" s="1" customFormat="1" ht="15.95" customHeight="1" x14ac:dyDescent="0.25"/>
    <row r="9729" s="1" customFormat="1" ht="15.95" customHeight="1" x14ac:dyDescent="0.25"/>
    <row r="9730" s="1" customFormat="1" ht="15.95" customHeight="1" x14ac:dyDescent="0.25"/>
    <row r="9731" s="1" customFormat="1" ht="15.95" customHeight="1" x14ac:dyDescent="0.25"/>
    <row r="9732" s="1" customFormat="1" ht="15.95" customHeight="1" x14ac:dyDescent="0.25"/>
    <row r="9733" s="1" customFormat="1" ht="15.95" customHeight="1" x14ac:dyDescent="0.25"/>
    <row r="9734" s="1" customFormat="1" ht="15.95" customHeight="1" x14ac:dyDescent="0.25"/>
    <row r="9735" s="1" customFormat="1" ht="15.95" customHeight="1" x14ac:dyDescent="0.25"/>
    <row r="9736" s="1" customFormat="1" ht="15.95" customHeight="1" x14ac:dyDescent="0.25"/>
    <row r="9737" s="1" customFormat="1" ht="15.95" customHeight="1" x14ac:dyDescent="0.25"/>
    <row r="9738" s="1" customFormat="1" ht="15.95" customHeight="1" x14ac:dyDescent="0.25"/>
    <row r="9739" s="1" customFormat="1" ht="15.95" customHeight="1" x14ac:dyDescent="0.25"/>
    <row r="9740" s="1" customFormat="1" ht="15.95" customHeight="1" x14ac:dyDescent="0.25"/>
    <row r="9741" s="1" customFormat="1" ht="15.95" customHeight="1" x14ac:dyDescent="0.25"/>
    <row r="9742" s="1" customFormat="1" ht="15.95" customHeight="1" x14ac:dyDescent="0.25"/>
    <row r="9743" s="1" customFormat="1" ht="15.95" customHeight="1" x14ac:dyDescent="0.25"/>
    <row r="9744" s="1" customFormat="1" ht="15.95" customHeight="1" x14ac:dyDescent="0.25"/>
    <row r="9745" s="1" customFormat="1" ht="15.95" customHeight="1" x14ac:dyDescent="0.25"/>
    <row r="9746" s="1" customFormat="1" ht="15.95" customHeight="1" x14ac:dyDescent="0.25"/>
    <row r="9747" s="1" customFormat="1" ht="15.95" customHeight="1" x14ac:dyDescent="0.25"/>
    <row r="9748" s="1" customFormat="1" ht="15.95" customHeight="1" x14ac:dyDescent="0.25"/>
    <row r="9749" s="1" customFormat="1" ht="15.95" customHeight="1" x14ac:dyDescent="0.25"/>
    <row r="9750" s="1" customFormat="1" ht="15.95" customHeight="1" x14ac:dyDescent="0.25"/>
    <row r="9751" s="1" customFormat="1" ht="15.95" customHeight="1" x14ac:dyDescent="0.25"/>
    <row r="9752" s="1" customFormat="1" ht="15.95" customHeight="1" x14ac:dyDescent="0.25"/>
    <row r="9753" s="1" customFormat="1" ht="15.95" customHeight="1" x14ac:dyDescent="0.25"/>
    <row r="9754" s="1" customFormat="1" ht="15.95" customHeight="1" x14ac:dyDescent="0.25"/>
    <row r="9755" s="1" customFormat="1" ht="15.95" customHeight="1" x14ac:dyDescent="0.25"/>
    <row r="9756" s="1" customFormat="1" ht="15.95" customHeight="1" x14ac:dyDescent="0.25"/>
    <row r="9757" s="1" customFormat="1" ht="15.95" customHeight="1" x14ac:dyDescent="0.25"/>
    <row r="9758" s="1" customFormat="1" ht="15.95" customHeight="1" x14ac:dyDescent="0.25"/>
    <row r="9759" s="1" customFormat="1" ht="15.95" customHeight="1" x14ac:dyDescent="0.25"/>
    <row r="9760" s="1" customFormat="1" ht="15.95" customHeight="1" x14ac:dyDescent="0.25"/>
    <row r="9761" s="1" customFormat="1" ht="15.95" customHeight="1" x14ac:dyDescent="0.25"/>
    <row r="9762" s="1" customFormat="1" ht="15.95" customHeight="1" x14ac:dyDescent="0.25"/>
    <row r="9763" s="1" customFormat="1" ht="15.95" customHeight="1" x14ac:dyDescent="0.25"/>
    <row r="9764" s="1" customFormat="1" ht="15.95" customHeight="1" x14ac:dyDescent="0.25"/>
    <row r="9765" s="1" customFormat="1" ht="15.95" customHeight="1" x14ac:dyDescent="0.25"/>
    <row r="9766" s="1" customFormat="1" ht="15.95" customHeight="1" x14ac:dyDescent="0.25"/>
    <row r="9767" s="1" customFormat="1" ht="15.95" customHeight="1" x14ac:dyDescent="0.25"/>
    <row r="9768" s="1" customFormat="1" ht="15.95" customHeight="1" x14ac:dyDescent="0.25"/>
    <row r="9769" s="1" customFormat="1" ht="15.95" customHeight="1" x14ac:dyDescent="0.25"/>
    <row r="9770" s="1" customFormat="1" ht="15.95" customHeight="1" x14ac:dyDescent="0.25"/>
    <row r="9771" s="1" customFormat="1" ht="15.95" customHeight="1" x14ac:dyDescent="0.25"/>
    <row r="9772" s="1" customFormat="1" ht="15.95" customHeight="1" x14ac:dyDescent="0.25"/>
    <row r="9773" s="1" customFormat="1" ht="15.95" customHeight="1" x14ac:dyDescent="0.25"/>
    <row r="9774" s="1" customFormat="1" ht="15.95" customHeight="1" x14ac:dyDescent="0.25"/>
    <row r="9775" s="1" customFormat="1" ht="15.95" customHeight="1" x14ac:dyDescent="0.25"/>
    <row r="9776" s="1" customFormat="1" ht="15.95" customHeight="1" x14ac:dyDescent="0.25"/>
    <row r="9777" s="1" customFormat="1" ht="15.95" customHeight="1" x14ac:dyDescent="0.25"/>
    <row r="9778" s="1" customFormat="1" ht="15.95" customHeight="1" x14ac:dyDescent="0.25"/>
    <row r="9779" s="1" customFormat="1" ht="15.95" customHeight="1" x14ac:dyDescent="0.25"/>
    <row r="9780" s="1" customFormat="1" ht="15.95" customHeight="1" x14ac:dyDescent="0.25"/>
    <row r="9781" s="1" customFormat="1" ht="15.95" customHeight="1" x14ac:dyDescent="0.25"/>
    <row r="9782" s="1" customFormat="1" ht="15.95" customHeight="1" x14ac:dyDescent="0.25"/>
    <row r="9783" s="1" customFormat="1" ht="15.95" customHeight="1" x14ac:dyDescent="0.25"/>
    <row r="9784" s="1" customFormat="1" ht="15.95" customHeight="1" x14ac:dyDescent="0.25"/>
    <row r="9785" s="1" customFormat="1" ht="15.95" customHeight="1" x14ac:dyDescent="0.25"/>
    <row r="9786" s="1" customFormat="1" ht="15.95" customHeight="1" x14ac:dyDescent="0.25"/>
    <row r="9787" s="1" customFormat="1" ht="15.95" customHeight="1" x14ac:dyDescent="0.25"/>
    <row r="9788" s="1" customFormat="1" ht="15.95" customHeight="1" x14ac:dyDescent="0.25"/>
    <row r="9789" s="1" customFormat="1" ht="15.95" customHeight="1" x14ac:dyDescent="0.25"/>
    <row r="9790" s="1" customFormat="1" ht="15.95" customHeight="1" x14ac:dyDescent="0.25"/>
    <row r="9791" s="1" customFormat="1" ht="15.95" customHeight="1" x14ac:dyDescent="0.25"/>
    <row r="9792" s="1" customFormat="1" ht="15.95" customHeight="1" x14ac:dyDescent="0.25"/>
    <row r="9793" s="1" customFormat="1" ht="15.95" customHeight="1" x14ac:dyDescent="0.25"/>
    <row r="9794" s="1" customFormat="1" ht="15.95" customHeight="1" x14ac:dyDescent="0.25"/>
    <row r="9795" s="1" customFormat="1" ht="15.95" customHeight="1" x14ac:dyDescent="0.25"/>
    <row r="9796" s="1" customFormat="1" ht="15.95" customHeight="1" x14ac:dyDescent="0.25"/>
    <row r="9797" s="1" customFormat="1" ht="15.95" customHeight="1" x14ac:dyDescent="0.25"/>
    <row r="9798" s="1" customFormat="1" ht="15.95" customHeight="1" x14ac:dyDescent="0.25"/>
    <row r="9799" s="1" customFormat="1" ht="15.95" customHeight="1" x14ac:dyDescent="0.25"/>
    <row r="9800" s="1" customFormat="1" ht="15.95" customHeight="1" x14ac:dyDescent="0.25"/>
    <row r="9801" s="1" customFormat="1" ht="15.95" customHeight="1" x14ac:dyDescent="0.25"/>
    <row r="9802" s="1" customFormat="1" ht="15.95" customHeight="1" x14ac:dyDescent="0.25"/>
    <row r="9803" s="1" customFormat="1" ht="15.95" customHeight="1" x14ac:dyDescent="0.25"/>
    <row r="9804" s="1" customFormat="1" ht="15.95" customHeight="1" x14ac:dyDescent="0.25"/>
    <row r="9805" s="1" customFormat="1" ht="15.95" customHeight="1" x14ac:dyDescent="0.25"/>
    <row r="9806" s="1" customFormat="1" ht="15.95" customHeight="1" x14ac:dyDescent="0.25"/>
    <row r="9807" s="1" customFormat="1" ht="15.95" customHeight="1" x14ac:dyDescent="0.25"/>
    <row r="9808" s="1" customFormat="1" ht="15.95" customHeight="1" x14ac:dyDescent="0.25"/>
    <row r="9809" s="1" customFormat="1" ht="15.95" customHeight="1" x14ac:dyDescent="0.25"/>
    <row r="9810" s="1" customFormat="1" ht="15.95" customHeight="1" x14ac:dyDescent="0.25"/>
    <row r="9811" s="1" customFormat="1" ht="15.95" customHeight="1" x14ac:dyDescent="0.25"/>
    <row r="9812" s="1" customFormat="1" ht="15.95" customHeight="1" x14ac:dyDescent="0.25"/>
    <row r="9813" s="1" customFormat="1" ht="15.95" customHeight="1" x14ac:dyDescent="0.25"/>
    <row r="9814" s="1" customFormat="1" ht="15.95" customHeight="1" x14ac:dyDescent="0.25"/>
    <row r="9815" s="1" customFormat="1" ht="15.95" customHeight="1" x14ac:dyDescent="0.25"/>
    <row r="9816" s="1" customFormat="1" ht="15.95" customHeight="1" x14ac:dyDescent="0.25"/>
    <row r="9817" s="1" customFormat="1" ht="15.95" customHeight="1" x14ac:dyDescent="0.25"/>
    <row r="9818" s="1" customFormat="1" ht="15.95" customHeight="1" x14ac:dyDescent="0.25"/>
    <row r="9819" s="1" customFormat="1" ht="15.95" customHeight="1" x14ac:dyDescent="0.25"/>
    <row r="9820" s="1" customFormat="1" ht="15.95" customHeight="1" x14ac:dyDescent="0.25"/>
    <row r="9821" s="1" customFormat="1" ht="15.95" customHeight="1" x14ac:dyDescent="0.25"/>
    <row r="9822" s="1" customFormat="1" ht="15.95" customHeight="1" x14ac:dyDescent="0.25"/>
    <row r="9823" s="1" customFormat="1" ht="15.95" customHeight="1" x14ac:dyDescent="0.25"/>
    <row r="9824" s="1" customFormat="1" ht="15.95" customHeight="1" x14ac:dyDescent="0.25"/>
    <row r="9825" s="1" customFormat="1" ht="15.95" customHeight="1" x14ac:dyDescent="0.25"/>
    <row r="9826" s="1" customFormat="1" ht="15.95" customHeight="1" x14ac:dyDescent="0.25"/>
    <row r="9827" s="1" customFormat="1" ht="15.95" customHeight="1" x14ac:dyDescent="0.25"/>
    <row r="9828" s="1" customFormat="1" ht="15.95" customHeight="1" x14ac:dyDescent="0.25"/>
    <row r="9829" s="1" customFormat="1" ht="15.95" customHeight="1" x14ac:dyDescent="0.25"/>
    <row r="9830" s="1" customFormat="1" ht="15.95" customHeight="1" x14ac:dyDescent="0.25"/>
    <row r="9831" s="1" customFormat="1" ht="15.95" customHeight="1" x14ac:dyDescent="0.25"/>
    <row r="9832" s="1" customFormat="1" ht="15.95" customHeight="1" x14ac:dyDescent="0.25"/>
    <row r="9833" s="1" customFormat="1" ht="15.95" customHeight="1" x14ac:dyDescent="0.25"/>
    <row r="9834" s="1" customFormat="1" ht="15.95" customHeight="1" x14ac:dyDescent="0.25"/>
    <row r="9835" s="1" customFormat="1" ht="15.95" customHeight="1" x14ac:dyDescent="0.25"/>
    <row r="9836" s="1" customFormat="1" ht="15.95" customHeight="1" x14ac:dyDescent="0.25"/>
    <row r="9837" s="1" customFormat="1" ht="15.95" customHeight="1" x14ac:dyDescent="0.25"/>
    <row r="9838" s="1" customFormat="1" ht="15.95" customHeight="1" x14ac:dyDescent="0.25"/>
    <row r="9839" s="1" customFormat="1" ht="15.95" customHeight="1" x14ac:dyDescent="0.25"/>
    <row r="9840" s="1" customFormat="1" ht="15.95" customHeight="1" x14ac:dyDescent="0.25"/>
    <row r="9841" s="1" customFormat="1" ht="15.95" customHeight="1" x14ac:dyDescent="0.25"/>
    <row r="9842" s="1" customFormat="1" ht="15.95" customHeight="1" x14ac:dyDescent="0.25"/>
    <row r="9843" s="1" customFormat="1" ht="15.95" customHeight="1" x14ac:dyDescent="0.25"/>
    <row r="9844" s="1" customFormat="1" ht="15.95" customHeight="1" x14ac:dyDescent="0.25"/>
    <row r="9845" s="1" customFormat="1" ht="15.95" customHeight="1" x14ac:dyDescent="0.25"/>
    <row r="9846" s="1" customFormat="1" ht="15.95" customHeight="1" x14ac:dyDescent="0.25"/>
    <row r="9847" s="1" customFormat="1" ht="15.95" customHeight="1" x14ac:dyDescent="0.25"/>
    <row r="9848" s="1" customFormat="1" ht="15.95" customHeight="1" x14ac:dyDescent="0.25"/>
    <row r="9849" s="1" customFormat="1" ht="15.95" customHeight="1" x14ac:dyDescent="0.25"/>
    <row r="9850" s="1" customFormat="1" ht="15.95" customHeight="1" x14ac:dyDescent="0.25"/>
    <row r="9851" s="1" customFormat="1" ht="15.95" customHeight="1" x14ac:dyDescent="0.25"/>
    <row r="9852" s="1" customFormat="1" ht="15.95" customHeight="1" x14ac:dyDescent="0.25"/>
    <row r="9853" s="1" customFormat="1" ht="15.95" customHeight="1" x14ac:dyDescent="0.25"/>
    <row r="9854" s="1" customFormat="1" ht="15.95" customHeight="1" x14ac:dyDescent="0.25"/>
    <row r="9855" s="1" customFormat="1" ht="15.95" customHeight="1" x14ac:dyDescent="0.25"/>
    <row r="9856" s="1" customFormat="1" ht="15.95" customHeight="1" x14ac:dyDescent="0.25"/>
    <row r="9857" s="1" customFormat="1" ht="15.95" customHeight="1" x14ac:dyDescent="0.25"/>
    <row r="9858" s="1" customFormat="1" ht="15.95" customHeight="1" x14ac:dyDescent="0.25"/>
    <row r="9859" s="1" customFormat="1" ht="15.95" customHeight="1" x14ac:dyDescent="0.25"/>
    <row r="9860" s="1" customFormat="1" ht="15.95" customHeight="1" x14ac:dyDescent="0.25"/>
    <row r="9861" s="1" customFormat="1" ht="15.95" customHeight="1" x14ac:dyDescent="0.25"/>
    <row r="9862" s="1" customFormat="1" ht="15.95" customHeight="1" x14ac:dyDescent="0.25"/>
    <row r="9863" s="1" customFormat="1" ht="15.95" customHeight="1" x14ac:dyDescent="0.25"/>
    <row r="9864" s="1" customFormat="1" ht="15.95" customHeight="1" x14ac:dyDescent="0.25"/>
    <row r="9865" s="1" customFormat="1" ht="15.95" customHeight="1" x14ac:dyDescent="0.25"/>
    <row r="9866" s="1" customFormat="1" ht="15.95" customHeight="1" x14ac:dyDescent="0.25"/>
    <row r="9867" s="1" customFormat="1" ht="15.95" customHeight="1" x14ac:dyDescent="0.25"/>
    <row r="9868" s="1" customFormat="1" ht="15.95" customHeight="1" x14ac:dyDescent="0.25"/>
    <row r="9869" s="1" customFormat="1" ht="15.95" customHeight="1" x14ac:dyDescent="0.25"/>
    <row r="9870" s="1" customFormat="1" ht="15.95" customHeight="1" x14ac:dyDescent="0.25"/>
    <row r="9871" s="1" customFormat="1" ht="15.95" customHeight="1" x14ac:dyDescent="0.25"/>
    <row r="9872" s="1" customFormat="1" ht="15.95" customHeight="1" x14ac:dyDescent="0.25"/>
    <row r="9873" s="1" customFormat="1" ht="15.95" customHeight="1" x14ac:dyDescent="0.25"/>
    <row r="9874" s="1" customFormat="1" ht="15.95" customHeight="1" x14ac:dyDescent="0.25"/>
    <row r="9875" s="1" customFormat="1" ht="15.95" customHeight="1" x14ac:dyDescent="0.25"/>
    <row r="9876" s="1" customFormat="1" ht="15.95" customHeight="1" x14ac:dyDescent="0.25"/>
    <row r="9877" s="1" customFormat="1" ht="15.95" customHeight="1" x14ac:dyDescent="0.25"/>
    <row r="9878" s="1" customFormat="1" ht="15.95" customHeight="1" x14ac:dyDescent="0.25"/>
    <row r="9879" s="1" customFormat="1" ht="15.95" customHeight="1" x14ac:dyDescent="0.25"/>
    <row r="9880" s="1" customFormat="1" ht="15.95" customHeight="1" x14ac:dyDescent="0.25"/>
    <row r="9881" s="1" customFormat="1" ht="15.95" customHeight="1" x14ac:dyDescent="0.25"/>
    <row r="9882" s="1" customFormat="1" ht="15.95" customHeight="1" x14ac:dyDescent="0.25"/>
    <row r="9883" s="1" customFormat="1" ht="15.95" customHeight="1" x14ac:dyDescent="0.25"/>
    <row r="9884" s="1" customFormat="1" ht="15.95" customHeight="1" x14ac:dyDescent="0.25"/>
    <row r="9885" s="1" customFormat="1" ht="15.95" customHeight="1" x14ac:dyDescent="0.25"/>
    <row r="9886" s="1" customFormat="1" ht="15.95" customHeight="1" x14ac:dyDescent="0.25"/>
    <row r="9887" s="1" customFormat="1" ht="15.95" customHeight="1" x14ac:dyDescent="0.25"/>
    <row r="9888" s="1" customFormat="1" ht="15.95" customHeight="1" x14ac:dyDescent="0.25"/>
    <row r="9889" s="1" customFormat="1" ht="15.95" customHeight="1" x14ac:dyDescent="0.25"/>
    <row r="9890" s="1" customFormat="1" ht="15.95" customHeight="1" x14ac:dyDescent="0.25"/>
    <row r="9891" s="1" customFormat="1" ht="15.95" customHeight="1" x14ac:dyDescent="0.25"/>
    <row r="9892" s="1" customFormat="1" ht="15.95" customHeight="1" x14ac:dyDescent="0.25"/>
    <row r="9893" s="1" customFormat="1" ht="15.95" customHeight="1" x14ac:dyDescent="0.25"/>
    <row r="9894" s="1" customFormat="1" ht="15.95" customHeight="1" x14ac:dyDescent="0.25"/>
    <row r="9895" s="1" customFormat="1" ht="15.95" customHeight="1" x14ac:dyDescent="0.25"/>
    <row r="9896" s="1" customFormat="1" ht="15.95" customHeight="1" x14ac:dyDescent="0.25"/>
    <row r="9897" s="1" customFormat="1" ht="15.95" customHeight="1" x14ac:dyDescent="0.25"/>
    <row r="9898" s="1" customFormat="1" ht="15.95" customHeight="1" x14ac:dyDescent="0.25"/>
    <row r="9899" s="1" customFormat="1" ht="15.95" customHeight="1" x14ac:dyDescent="0.25"/>
    <row r="9900" s="1" customFormat="1" ht="15.95" customHeight="1" x14ac:dyDescent="0.25"/>
    <row r="9901" s="1" customFormat="1" ht="15.95" customHeight="1" x14ac:dyDescent="0.25"/>
    <row r="9902" s="1" customFormat="1" ht="15.95" customHeight="1" x14ac:dyDescent="0.25"/>
    <row r="9903" s="1" customFormat="1" ht="15.95" customHeight="1" x14ac:dyDescent="0.25"/>
    <row r="9904" s="1" customFormat="1" ht="15.95" customHeight="1" x14ac:dyDescent="0.25"/>
    <row r="9905" s="1" customFormat="1" ht="15.95" customHeight="1" x14ac:dyDescent="0.25"/>
    <row r="9906" s="1" customFormat="1" ht="15.95" customHeight="1" x14ac:dyDescent="0.25"/>
    <row r="9907" s="1" customFormat="1" ht="15.95" customHeight="1" x14ac:dyDescent="0.25"/>
    <row r="9908" s="1" customFormat="1" ht="15.95" customHeight="1" x14ac:dyDescent="0.25"/>
    <row r="9909" s="1" customFormat="1" ht="15.95" customHeight="1" x14ac:dyDescent="0.25"/>
    <row r="9910" s="1" customFormat="1" ht="15.95" customHeight="1" x14ac:dyDescent="0.25"/>
    <row r="9911" s="1" customFormat="1" ht="15.95" customHeight="1" x14ac:dyDescent="0.25"/>
    <row r="9912" s="1" customFormat="1" ht="15.95" customHeight="1" x14ac:dyDescent="0.25"/>
    <row r="9913" s="1" customFormat="1" ht="15.95" customHeight="1" x14ac:dyDescent="0.25"/>
    <row r="9914" s="1" customFormat="1" ht="15.95" customHeight="1" x14ac:dyDescent="0.25"/>
    <row r="9915" s="1" customFormat="1" ht="15.95" customHeight="1" x14ac:dyDescent="0.25"/>
    <row r="9916" s="1" customFormat="1" ht="15.95" customHeight="1" x14ac:dyDescent="0.25"/>
    <row r="9917" s="1" customFormat="1" ht="15.95" customHeight="1" x14ac:dyDescent="0.25"/>
    <row r="9918" s="1" customFormat="1" ht="15.95" customHeight="1" x14ac:dyDescent="0.25"/>
    <row r="9919" s="1" customFormat="1" ht="15.95" customHeight="1" x14ac:dyDescent="0.25"/>
    <row r="9920" s="1" customFormat="1" ht="15.95" customHeight="1" x14ac:dyDescent="0.25"/>
    <row r="9921" s="1" customFormat="1" ht="15.95" customHeight="1" x14ac:dyDescent="0.25"/>
    <row r="9922" s="1" customFormat="1" ht="15.95" customHeight="1" x14ac:dyDescent="0.25"/>
    <row r="9923" s="1" customFormat="1" ht="15.95" customHeight="1" x14ac:dyDescent="0.25"/>
    <row r="9924" s="1" customFormat="1" ht="15.95" customHeight="1" x14ac:dyDescent="0.25"/>
    <row r="9925" s="1" customFormat="1" ht="15.95" customHeight="1" x14ac:dyDescent="0.25"/>
    <row r="9926" s="1" customFormat="1" ht="15.95" customHeight="1" x14ac:dyDescent="0.25"/>
    <row r="9927" s="1" customFormat="1" ht="15.95" customHeight="1" x14ac:dyDescent="0.25"/>
    <row r="9928" s="1" customFormat="1" ht="15.95" customHeight="1" x14ac:dyDescent="0.25"/>
    <row r="9929" s="1" customFormat="1" ht="15.95" customHeight="1" x14ac:dyDescent="0.25"/>
    <row r="9930" s="1" customFormat="1" ht="15.95" customHeight="1" x14ac:dyDescent="0.25"/>
    <row r="9931" s="1" customFormat="1" ht="15.95" customHeight="1" x14ac:dyDescent="0.25"/>
    <row r="9932" s="1" customFormat="1" ht="15.95" customHeight="1" x14ac:dyDescent="0.25"/>
    <row r="9933" s="1" customFormat="1" ht="15.95" customHeight="1" x14ac:dyDescent="0.25"/>
    <row r="9934" s="1" customFormat="1" ht="15.95" customHeight="1" x14ac:dyDescent="0.25"/>
    <row r="9935" s="1" customFormat="1" ht="15.95" customHeight="1" x14ac:dyDescent="0.25"/>
    <row r="9936" s="1" customFormat="1" ht="15.95" customHeight="1" x14ac:dyDescent="0.25"/>
    <row r="9937" s="1" customFormat="1" ht="15.95" customHeight="1" x14ac:dyDescent="0.25"/>
    <row r="9938" s="1" customFormat="1" ht="15.95" customHeight="1" x14ac:dyDescent="0.25"/>
    <row r="9939" s="1" customFormat="1" ht="15.95" customHeight="1" x14ac:dyDescent="0.25"/>
    <row r="9940" s="1" customFormat="1" ht="15.95" customHeight="1" x14ac:dyDescent="0.25"/>
    <row r="9941" s="1" customFormat="1" ht="15.95" customHeight="1" x14ac:dyDescent="0.25"/>
    <row r="9942" s="1" customFormat="1" ht="15.95" customHeight="1" x14ac:dyDescent="0.25"/>
    <row r="9943" s="1" customFormat="1" ht="15.95" customHeight="1" x14ac:dyDescent="0.25"/>
    <row r="9944" s="1" customFormat="1" ht="15.95" customHeight="1" x14ac:dyDescent="0.25"/>
    <row r="9945" s="1" customFormat="1" ht="15.95" customHeight="1" x14ac:dyDescent="0.25"/>
    <row r="9946" s="1" customFormat="1" ht="15.95" customHeight="1" x14ac:dyDescent="0.25"/>
    <row r="9947" s="1" customFormat="1" ht="15.95" customHeight="1" x14ac:dyDescent="0.25"/>
    <row r="9948" s="1" customFormat="1" ht="15.95" customHeight="1" x14ac:dyDescent="0.25"/>
    <row r="9949" s="1" customFormat="1" ht="15.95" customHeight="1" x14ac:dyDescent="0.25"/>
    <row r="9950" s="1" customFormat="1" ht="15.95" customHeight="1" x14ac:dyDescent="0.25"/>
    <row r="9951" s="1" customFormat="1" ht="15.95" customHeight="1" x14ac:dyDescent="0.25"/>
    <row r="9952" s="1" customFormat="1" ht="15.95" customHeight="1" x14ac:dyDescent="0.25"/>
    <row r="9953" s="1" customFormat="1" ht="15.95" customHeight="1" x14ac:dyDescent="0.25"/>
    <row r="9954" s="1" customFormat="1" ht="15.95" customHeight="1" x14ac:dyDescent="0.25"/>
    <row r="9955" s="1" customFormat="1" ht="15.95" customHeight="1" x14ac:dyDescent="0.25"/>
    <row r="9956" s="1" customFormat="1" ht="15.95" customHeight="1" x14ac:dyDescent="0.25"/>
    <row r="9957" s="1" customFormat="1" ht="15.95" customHeight="1" x14ac:dyDescent="0.25"/>
    <row r="9958" s="1" customFormat="1" ht="15.95" customHeight="1" x14ac:dyDescent="0.25"/>
    <row r="9959" s="1" customFormat="1" ht="15.95" customHeight="1" x14ac:dyDescent="0.25"/>
    <row r="9960" s="1" customFormat="1" ht="15.95" customHeight="1" x14ac:dyDescent="0.25"/>
    <row r="9961" s="1" customFormat="1" ht="15.95" customHeight="1" x14ac:dyDescent="0.25"/>
    <row r="9962" s="1" customFormat="1" ht="15.95" customHeight="1" x14ac:dyDescent="0.25"/>
    <row r="9963" s="1" customFormat="1" ht="15.95" customHeight="1" x14ac:dyDescent="0.25"/>
    <row r="9964" s="1" customFormat="1" ht="15.95" customHeight="1" x14ac:dyDescent="0.25"/>
    <row r="9965" s="1" customFormat="1" ht="15.95" customHeight="1" x14ac:dyDescent="0.25"/>
    <row r="9966" s="1" customFormat="1" ht="15.95" customHeight="1" x14ac:dyDescent="0.25"/>
    <row r="9967" s="1" customFormat="1" ht="15.95" customHeight="1" x14ac:dyDescent="0.25"/>
    <row r="9968" s="1" customFormat="1" ht="15.95" customHeight="1" x14ac:dyDescent="0.25"/>
    <row r="9969" s="1" customFormat="1" ht="15.95" customHeight="1" x14ac:dyDescent="0.25"/>
    <row r="9970" s="1" customFormat="1" ht="15.95" customHeight="1" x14ac:dyDescent="0.25"/>
    <row r="9971" s="1" customFormat="1" ht="15.95" customHeight="1" x14ac:dyDescent="0.25"/>
    <row r="9972" s="1" customFormat="1" ht="15.95" customHeight="1" x14ac:dyDescent="0.25"/>
    <row r="9973" s="1" customFormat="1" ht="15.95" customHeight="1" x14ac:dyDescent="0.25"/>
    <row r="9974" s="1" customFormat="1" ht="15.95" customHeight="1" x14ac:dyDescent="0.25"/>
    <row r="9975" s="1" customFormat="1" ht="15.95" customHeight="1" x14ac:dyDescent="0.25"/>
    <row r="9976" s="1" customFormat="1" ht="15.95" customHeight="1" x14ac:dyDescent="0.25"/>
    <row r="9977" s="1" customFormat="1" ht="15.95" customHeight="1" x14ac:dyDescent="0.25"/>
    <row r="9978" s="1" customFormat="1" ht="15.95" customHeight="1" x14ac:dyDescent="0.25"/>
    <row r="9979" s="1" customFormat="1" ht="15.95" customHeight="1" x14ac:dyDescent="0.25"/>
    <row r="9980" s="1" customFormat="1" ht="15.95" customHeight="1" x14ac:dyDescent="0.25"/>
    <row r="9981" s="1" customFormat="1" ht="15.95" customHeight="1" x14ac:dyDescent="0.25"/>
    <row r="9982" s="1" customFormat="1" ht="15.95" customHeight="1" x14ac:dyDescent="0.25"/>
    <row r="9983" s="1" customFormat="1" ht="15.95" customHeight="1" x14ac:dyDescent="0.25"/>
    <row r="9984" s="1" customFormat="1" ht="15.95" customHeight="1" x14ac:dyDescent="0.25"/>
    <row r="9985" s="1" customFormat="1" ht="15.95" customHeight="1" x14ac:dyDescent="0.25"/>
    <row r="9986" s="1" customFormat="1" ht="15.95" customHeight="1" x14ac:dyDescent="0.25"/>
    <row r="9987" s="1" customFormat="1" ht="15.95" customHeight="1" x14ac:dyDescent="0.25"/>
    <row r="9988" s="1" customFormat="1" ht="15.95" customHeight="1" x14ac:dyDescent="0.25"/>
    <row r="9989" s="1" customFormat="1" ht="15.95" customHeight="1" x14ac:dyDescent="0.25"/>
    <row r="9990" s="1" customFormat="1" ht="15.95" customHeight="1" x14ac:dyDescent="0.25"/>
    <row r="9991" s="1" customFormat="1" ht="15.95" customHeight="1" x14ac:dyDescent="0.25"/>
    <row r="9992" s="1" customFormat="1" ht="15.95" customHeight="1" x14ac:dyDescent="0.25"/>
    <row r="9993" s="1" customFormat="1" ht="15.95" customHeight="1" x14ac:dyDescent="0.25"/>
    <row r="9994" s="1" customFormat="1" ht="15.95" customHeight="1" x14ac:dyDescent="0.25"/>
    <row r="9995" s="1" customFormat="1" ht="15.95" customHeight="1" x14ac:dyDescent="0.25"/>
    <row r="9996" s="1" customFormat="1" ht="15.95" customHeight="1" x14ac:dyDescent="0.25"/>
    <row r="9997" s="1" customFormat="1" ht="15.95" customHeight="1" x14ac:dyDescent="0.25"/>
    <row r="9998" s="1" customFormat="1" ht="15.95" customHeight="1" x14ac:dyDescent="0.25"/>
    <row r="9999" s="1" customFormat="1" ht="15.95" customHeight="1" x14ac:dyDescent="0.25"/>
    <row r="10000" s="1" customFormat="1" ht="15.95" customHeight="1" x14ac:dyDescent="0.25"/>
    <row r="10001" s="1" customFormat="1" ht="15.95" customHeight="1" x14ac:dyDescent="0.25"/>
    <row r="10002" s="1" customFormat="1" ht="15.95" customHeight="1" x14ac:dyDescent="0.25"/>
    <row r="10003" s="1" customFormat="1" ht="15.95" customHeight="1" x14ac:dyDescent="0.25"/>
    <row r="10004" s="1" customFormat="1" ht="15.95" customHeight="1" x14ac:dyDescent="0.25"/>
    <row r="10005" s="1" customFormat="1" ht="15.95" customHeight="1" x14ac:dyDescent="0.25"/>
    <row r="10006" s="1" customFormat="1" ht="15.95" customHeight="1" x14ac:dyDescent="0.25"/>
    <row r="10007" s="1" customFormat="1" ht="15.95" customHeight="1" x14ac:dyDescent="0.25"/>
    <row r="10008" s="1" customFormat="1" ht="15.95" customHeight="1" x14ac:dyDescent="0.25"/>
    <row r="10009" s="1" customFormat="1" ht="15.95" customHeight="1" x14ac:dyDescent="0.25"/>
    <row r="10010" s="1" customFormat="1" ht="15.95" customHeight="1" x14ac:dyDescent="0.25"/>
    <row r="10011" s="1" customFormat="1" ht="15.95" customHeight="1" x14ac:dyDescent="0.25"/>
    <row r="10012" s="1" customFormat="1" ht="15.95" customHeight="1" x14ac:dyDescent="0.25"/>
    <row r="10013" s="1" customFormat="1" ht="15.95" customHeight="1" x14ac:dyDescent="0.25"/>
    <row r="10014" s="1" customFormat="1" ht="15.95" customHeight="1" x14ac:dyDescent="0.25"/>
    <row r="10015" s="1" customFormat="1" ht="15.95" customHeight="1" x14ac:dyDescent="0.25"/>
    <row r="10016" s="1" customFormat="1" ht="15.95" customHeight="1" x14ac:dyDescent="0.25"/>
    <row r="10017" s="1" customFormat="1" ht="15.95" customHeight="1" x14ac:dyDescent="0.25"/>
    <row r="10018" s="1" customFormat="1" ht="15.95" customHeight="1" x14ac:dyDescent="0.25"/>
    <row r="10019" s="1" customFormat="1" ht="15.95" customHeight="1" x14ac:dyDescent="0.25"/>
    <row r="10020" s="1" customFormat="1" ht="15.95" customHeight="1" x14ac:dyDescent="0.25"/>
    <row r="10021" s="1" customFormat="1" ht="15.95" customHeight="1" x14ac:dyDescent="0.25"/>
    <row r="10022" s="1" customFormat="1" ht="15.95" customHeight="1" x14ac:dyDescent="0.25"/>
    <row r="10023" s="1" customFormat="1" ht="15.95" customHeight="1" x14ac:dyDescent="0.25"/>
    <row r="10024" s="1" customFormat="1" ht="15.95" customHeight="1" x14ac:dyDescent="0.25"/>
    <row r="10025" s="1" customFormat="1" ht="15.95" customHeight="1" x14ac:dyDescent="0.25"/>
    <row r="10026" s="1" customFormat="1" ht="15.95" customHeight="1" x14ac:dyDescent="0.25"/>
    <row r="10027" s="1" customFormat="1" ht="15.95" customHeight="1" x14ac:dyDescent="0.25"/>
    <row r="10028" s="1" customFormat="1" ht="15.95" customHeight="1" x14ac:dyDescent="0.25"/>
    <row r="10029" s="1" customFormat="1" ht="15.95" customHeight="1" x14ac:dyDescent="0.25"/>
    <row r="10030" s="1" customFormat="1" ht="15.95" customHeight="1" x14ac:dyDescent="0.25"/>
    <row r="10031" s="1" customFormat="1" ht="15.95" customHeight="1" x14ac:dyDescent="0.25"/>
    <row r="10032" s="1" customFormat="1" ht="15.95" customHeight="1" x14ac:dyDescent="0.25"/>
    <row r="10033" s="1" customFormat="1" ht="15.95" customHeight="1" x14ac:dyDescent="0.25"/>
    <row r="10034" s="1" customFormat="1" ht="15.95" customHeight="1" x14ac:dyDescent="0.25"/>
    <row r="10035" s="1" customFormat="1" ht="15.95" customHeight="1" x14ac:dyDescent="0.25"/>
    <row r="10036" s="1" customFormat="1" ht="15.95" customHeight="1" x14ac:dyDescent="0.25"/>
    <row r="10037" s="1" customFormat="1" ht="15.95" customHeight="1" x14ac:dyDescent="0.25"/>
    <row r="10038" s="1" customFormat="1" ht="15.95" customHeight="1" x14ac:dyDescent="0.25"/>
    <row r="10039" s="1" customFormat="1" ht="15.95" customHeight="1" x14ac:dyDescent="0.25"/>
    <row r="10040" s="1" customFormat="1" ht="15.95" customHeight="1" x14ac:dyDescent="0.25"/>
    <row r="10041" s="1" customFormat="1" ht="15.95" customHeight="1" x14ac:dyDescent="0.25"/>
    <row r="10042" s="1" customFormat="1" ht="15.95" customHeight="1" x14ac:dyDescent="0.25"/>
    <row r="10043" s="1" customFormat="1" ht="15.95" customHeight="1" x14ac:dyDescent="0.25"/>
    <row r="10044" s="1" customFormat="1" ht="15.95" customHeight="1" x14ac:dyDescent="0.25"/>
    <row r="10045" s="1" customFormat="1" ht="15.95" customHeight="1" x14ac:dyDescent="0.25"/>
    <row r="10046" s="1" customFormat="1" ht="15.95" customHeight="1" x14ac:dyDescent="0.25"/>
    <row r="10047" s="1" customFormat="1" ht="15.95" customHeight="1" x14ac:dyDescent="0.25"/>
    <row r="10048" s="1" customFormat="1" ht="15.95" customHeight="1" x14ac:dyDescent="0.25"/>
    <row r="10049" s="1" customFormat="1" ht="15.95" customHeight="1" x14ac:dyDescent="0.25"/>
    <row r="10050" s="1" customFormat="1" ht="15.95" customHeight="1" x14ac:dyDescent="0.25"/>
    <row r="10051" s="1" customFormat="1" ht="15.95" customHeight="1" x14ac:dyDescent="0.25"/>
    <row r="10052" s="1" customFormat="1" ht="15.95" customHeight="1" x14ac:dyDescent="0.25"/>
    <row r="10053" s="1" customFormat="1" ht="15.95" customHeight="1" x14ac:dyDescent="0.25"/>
    <row r="10054" s="1" customFormat="1" ht="15.95" customHeight="1" x14ac:dyDescent="0.25"/>
    <row r="10055" s="1" customFormat="1" ht="15.95" customHeight="1" x14ac:dyDescent="0.25"/>
    <row r="10056" s="1" customFormat="1" ht="15.95" customHeight="1" x14ac:dyDescent="0.25"/>
    <row r="10057" s="1" customFormat="1" ht="15.95" customHeight="1" x14ac:dyDescent="0.25"/>
    <row r="10058" s="1" customFormat="1" ht="15.95" customHeight="1" x14ac:dyDescent="0.25"/>
    <row r="10059" s="1" customFormat="1" ht="15.95" customHeight="1" x14ac:dyDescent="0.25"/>
    <row r="10060" s="1" customFormat="1" ht="15.95" customHeight="1" x14ac:dyDescent="0.25"/>
    <row r="10061" s="1" customFormat="1" ht="15.95" customHeight="1" x14ac:dyDescent="0.25"/>
    <row r="10062" s="1" customFormat="1" ht="15.95" customHeight="1" x14ac:dyDescent="0.25"/>
    <row r="10063" s="1" customFormat="1" ht="15.95" customHeight="1" x14ac:dyDescent="0.25"/>
    <row r="10064" s="1" customFormat="1" ht="15.95" customHeight="1" x14ac:dyDescent="0.25"/>
    <row r="10065" s="1" customFormat="1" ht="15.95" customHeight="1" x14ac:dyDescent="0.25"/>
    <row r="10066" s="1" customFormat="1" ht="15.95" customHeight="1" x14ac:dyDescent="0.25"/>
    <row r="10067" s="1" customFormat="1" ht="15.95" customHeight="1" x14ac:dyDescent="0.25"/>
    <row r="10068" s="1" customFormat="1" ht="15.95" customHeight="1" x14ac:dyDescent="0.25"/>
    <row r="10069" s="1" customFormat="1" ht="15.95" customHeight="1" x14ac:dyDescent="0.25"/>
    <row r="10070" s="1" customFormat="1" ht="15.95" customHeight="1" x14ac:dyDescent="0.25"/>
    <row r="10071" s="1" customFormat="1" ht="15.95" customHeight="1" x14ac:dyDescent="0.25"/>
    <row r="10072" s="1" customFormat="1" ht="15.95" customHeight="1" x14ac:dyDescent="0.25"/>
    <row r="10073" s="1" customFormat="1" ht="15.95" customHeight="1" x14ac:dyDescent="0.25"/>
    <row r="10074" s="1" customFormat="1" ht="15.95" customHeight="1" x14ac:dyDescent="0.25"/>
    <row r="10075" s="1" customFormat="1" ht="15.95" customHeight="1" x14ac:dyDescent="0.25"/>
    <row r="10076" s="1" customFormat="1" ht="15.95" customHeight="1" x14ac:dyDescent="0.25"/>
    <row r="10077" s="1" customFormat="1" ht="15.95" customHeight="1" x14ac:dyDescent="0.25"/>
    <row r="10078" s="1" customFormat="1" ht="15.95" customHeight="1" x14ac:dyDescent="0.25"/>
    <row r="10079" s="1" customFormat="1" ht="15.95" customHeight="1" x14ac:dyDescent="0.25"/>
    <row r="10080" s="1" customFormat="1" ht="15.95" customHeight="1" x14ac:dyDescent="0.25"/>
    <row r="10081" s="1" customFormat="1" ht="15.95" customHeight="1" x14ac:dyDescent="0.25"/>
    <row r="10082" s="1" customFormat="1" ht="15.95" customHeight="1" x14ac:dyDescent="0.25"/>
    <row r="10083" s="1" customFormat="1" ht="15.95" customHeight="1" x14ac:dyDescent="0.25"/>
    <row r="10084" s="1" customFormat="1" ht="15.95" customHeight="1" x14ac:dyDescent="0.25"/>
    <row r="10085" s="1" customFormat="1" ht="15.95" customHeight="1" x14ac:dyDescent="0.25"/>
    <row r="10086" s="1" customFormat="1" ht="15.95" customHeight="1" x14ac:dyDescent="0.25"/>
    <row r="10087" s="1" customFormat="1" ht="15.95" customHeight="1" x14ac:dyDescent="0.25"/>
    <row r="10088" s="1" customFormat="1" ht="15.95" customHeight="1" x14ac:dyDescent="0.25"/>
    <row r="10089" s="1" customFormat="1" ht="15.95" customHeight="1" x14ac:dyDescent="0.25"/>
    <row r="10090" s="1" customFormat="1" ht="15.95" customHeight="1" x14ac:dyDescent="0.25"/>
    <row r="10091" s="1" customFormat="1" ht="15.95" customHeight="1" x14ac:dyDescent="0.25"/>
    <row r="10092" s="1" customFormat="1" ht="15.95" customHeight="1" x14ac:dyDescent="0.25"/>
    <row r="10093" s="1" customFormat="1" ht="15.95" customHeight="1" x14ac:dyDescent="0.25"/>
    <row r="10094" s="1" customFormat="1" ht="15.95" customHeight="1" x14ac:dyDescent="0.25"/>
    <row r="10095" s="1" customFormat="1" ht="15.95" customHeight="1" x14ac:dyDescent="0.25"/>
    <row r="10096" s="1" customFormat="1" ht="15.95" customHeight="1" x14ac:dyDescent="0.25"/>
    <row r="10097" s="1" customFormat="1" ht="15.95" customHeight="1" x14ac:dyDescent="0.25"/>
    <row r="10098" s="1" customFormat="1" ht="15.95" customHeight="1" x14ac:dyDescent="0.25"/>
    <row r="10099" s="1" customFormat="1" ht="15.95" customHeight="1" x14ac:dyDescent="0.25"/>
    <row r="10100" s="1" customFormat="1" ht="15.95" customHeight="1" x14ac:dyDescent="0.25"/>
    <row r="10101" s="1" customFormat="1" ht="15.95" customHeight="1" x14ac:dyDescent="0.25"/>
    <row r="10102" s="1" customFormat="1" ht="15.95" customHeight="1" x14ac:dyDescent="0.25"/>
    <row r="10103" s="1" customFormat="1" ht="15.95" customHeight="1" x14ac:dyDescent="0.25"/>
    <row r="10104" s="1" customFormat="1" ht="15.95" customHeight="1" x14ac:dyDescent="0.25"/>
    <row r="10105" s="1" customFormat="1" ht="15.95" customHeight="1" x14ac:dyDescent="0.25"/>
    <row r="10106" s="1" customFormat="1" ht="15.95" customHeight="1" x14ac:dyDescent="0.25"/>
    <row r="10107" s="1" customFormat="1" ht="15.95" customHeight="1" x14ac:dyDescent="0.25"/>
    <row r="10108" s="1" customFormat="1" ht="15.95" customHeight="1" x14ac:dyDescent="0.25"/>
    <row r="10109" s="1" customFormat="1" ht="15.95" customHeight="1" x14ac:dyDescent="0.25"/>
    <row r="10110" s="1" customFormat="1" ht="15.95" customHeight="1" x14ac:dyDescent="0.25"/>
    <row r="10111" s="1" customFormat="1" ht="15.95" customHeight="1" x14ac:dyDescent="0.25"/>
    <row r="10112" s="1" customFormat="1" ht="15.95" customHeight="1" x14ac:dyDescent="0.25"/>
    <row r="10113" s="1" customFormat="1" ht="15.95" customHeight="1" x14ac:dyDescent="0.25"/>
    <row r="10114" s="1" customFormat="1" ht="15.95" customHeight="1" x14ac:dyDescent="0.25"/>
    <row r="10115" s="1" customFormat="1" ht="15.95" customHeight="1" x14ac:dyDescent="0.25"/>
    <row r="10116" s="1" customFormat="1" ht="15.95" customHeight="1" x14ac:dyDescent="0.25"/>
    <row r="10117" s="1" customFormat="1" ht="15.95" customHeight="1" x14ac:dyDescent="0.25"/>
    <row r="10118" s="1" customFormat="1" ht="15.95" customHeight="1" x14ac:dyDescent="0.25"/>
    <row r="10119" s="1" customFormat="1" ht="15.95" customHeight="1" x14ac:dyDescent="0.25"/>
    <row r="10120" s="1" customFormat="1" ht="15.95" customHeight="1" x14ac:dyDescent="0.25"/>
    <row r="10121" s="1" customFormat="1" ht="15.95" customHeight="1" x14ac:dyDescent="0.25"/>
    <row r="10122" s="1" customFormat="1" ht="15.95" customHeight="1" x14ac:dyDescent="0.25"/>
    <row r="10123" s="1" customFormat="1" ht="15.95" customHeight="1" x14ac:dyDescent="0.25"/>
    <row r="10124" s="1" customFormat="1" ht="15.95" customHeight="1" x14ac:dyDescent="0.25"/>
    <row r="10125" s="1" customFormat="1" ht="15.95" customHeight="1" x14ac:dyDescent="0.25"/>
    <row r="10126" s="1" customFormat="1" ht="15.95" customHeight="1" x14ac:dyDescent="0.25"/>
    <row r="10127" s="1" customFormat="1" ht="15.95" customHeight="1" x14ac:dyDescent="0.25"/>
    <row r="10128" s="1" customFormat="1" ht="15.95" customHeight="1" x14ac:dyDescent="0.25"/>
    <row r="10129" s="1" customFormat="1" ht="15.95" customHeight="1" x14ac:dyDescent="0.25"/>
    <row r="10130" s="1" customFormat="1" ht="15.95" customHeight="1" x14ac:dyDescent="0.25"/>
    <row r="10131" s="1" customFormat="1" ht="15.95" customHeight="1" x14ac:dyDescent="0.25"/>
    <row r="10132" s="1" customFormat="1" ht="15.95" customHeight="1" x14ac:dyDescent="0.25"/>
    <row r="10133" s="1" customFormat="1" ht="15.95" customHeight="1" x14ac:dyDescent="0.25"/>
    <row r="10134" s="1" customFormat="1" ht="15.95" customHeight="1" x14ac:dyDescent="0.25"/>
    <row r="10135" s="1" customFormat="1" ht="15.95" customHeight="1" x14ac:dyDescent="0.25"/>
    <row r="10136" s="1" customFormat="1" ht="15.95" customHeight="1" x14ac:dyDescent="0.25"/>
    <row r="10137" s="1" customFormat="1" ht="15.95" customHeight="1" x14ac:dyDescent="0.25"/>
    <row r="10138" s="1" customFormat="1" ht="15.95" customHeight="1" x14ac:dyDescent="0.25"/>
    <row r="10139" s="1" customFormat="1" ht="15.95" customHeight="1" x14ac:dyDescent="0.25"/>
    <row r="10140" s="1" customFormat="1" ht="15.95" customHeight="1" x14ac:dyDescent="0.25"/>
    <row r="10141" s="1" customFormat="1" ht="15.95" customHeight="1" x14ac:dyDescent="0.25"/>
    <row r="10142" s="1" customFormat="1" ht="15.95" customHeight="1" x14ac:dyDescent="0.25"/>
    <row r="10143" s="1" customFormat="1" ht="15.95" customHeight="1" x14ac:dyDescent="0.25"/>
    <row r="10144" s="1" customFormat="1" ht="15.95" customHeight="1" x14ac:dyDescent="0.25"/>
    <row r="10145" s="1" customFormat="1" ht="15.95" customHeight="1" x14ac:dyDescent="0.25"/>
    <row r="10146" s="1" customFormat="1" ht="15.95" customHeight="1" x14ac:dyDescent="0.25"/>
    <row r="10147" s="1" customFormat="1" ht="15.95" customHeight="1" x14ac:dyDescent="0.25"/>
    <row r="10148" s="1" customFormat="1" ht="15.95" customHeight="1" x14ac:dyDescent="0.25"/>
    <row r="10149" s="1" customFormat="1" ht="15.95" customHeight="1" x14ac:dyDescent="0.25"/>
    <row r="10150" s="1" customFormat="1" ht="15.95" customHeight="1" x14ac:dyDescent="0.25"/>
    <row r="10151" s="1" customFormat="1" ht="15.95" customHeight="1" x14ac:dyDescent="0.25"/>
    <row r="10152" s="1" customFormat="1" ht="15.95" customHeight="1" x14ac:dyDescent="0.25"/>
    <row r="10153" s="1" customFormat="1" ht="15.95" customHeight="1" x14ac:dyDescent="0.25"/>
    <row r="10154" s="1" customFormat="1" ht="15.95" customHeight="1" x14ac:dyDescent="0.25"/>
    <row r="10155" s="1" customFormat="1" ht="15.95" customHeight="1" x14ac:dyDescent="0.25"/>
    <row r="10156" s="1" customFormat="1" ht="15.95" customHeight="1" x14ac:dyDescent="0.25"/>
    <row r="10157" s="1" customFormat="1" ht="15.95" customHeight="1" x14ac:dyDescent="0.25"/>
    <row r="10158" s="1" customFormat="1" ht="15.95" customHeight="1" x14ac:dyDescent="0.25"/>
    <row r="10159" s="1" customFormat="1" ht="15.95" customHeight="1" x14ac:dyDescent="0.25"/>
    <row r="10160" s="1" customFormat="1" ht="15.95" customHeight="1" x14ac:dyDescent="0.25"/>
    <row r="10161" s="1" customFormat="1" ht="15.95" customHeight="1" x14ac:dyDescent="0.25"/>
    <row r="10162" s="1" customFormat="1" ht="15.95" customHeight="1" x14ac:dyDescent="0.25"/>
    <row r="10163" s="1" customFormat="1" ht="15.95" customHeight="1" x14ac:dyDescent="0.25"/>
    <row r="10164" s="1" customFormat="1" ht="15.95" customHeight="1" x14ac:dyDescent="0.25"/>
    <row r="10165" s="1" customFormat="1" ht="15.95" customHeight="1" x14ac:dyDescent="0.25"/>
    <row r="10166" s="1" customFormat="1" ht="15.95" customHeight="1" x14ac:dyDescent="0.25"/>
    <row r="10167" s="1" customFormat="1" ht="15.95" customHeight="1" x14ac:dyDescent="0.25"/>
    <row r="10168" s="1" customFormat="1" ht="15.95" customHeight="1" x14ac:dyDescent="0.25"/>
    <row r="10169" s="1" customFormat="1" ht="15.95" customHeight="1" x14ac:dyDescent="0.25"/>
    <row r="10170" s="1" customFormat="1" ht="15.95" customHeight="1" x14ac:dyDescent="0.25"/>
    <row r="10171" s="1" customFormat="1" ht="15.95" customHeight="1" x14ac:dyDescent="0.25"/>
    <row r="10172" s="1" customFormat="1" ht="15.95" customHeight="1" x14ac:dyDescent="0.25"/>
    <row r="10173" s="1" customFormat="1" ht="15.95" customHeight="1" x14ac:dyDescent="0.25"/>
    <row r="10174" s="1" customFormat="1" ht="15.95" customHeight="1" x14ac:dyDescent="0.25"/>
    <row r="10175" s="1" customFormat="1" ht="15.95" customHeight="1" x14ac:dyDescent="0.25"/>
    <row r="10176" s="1" customFormat="1" ht="15.95" customHeight="1" x14ac:dyDescent="0.25"/>
    <row r="10177" s="1" customFormat="1" ht="15.95" customHeight="1" x14ac:dyDescent="0.25"/>
    <row r="10178" s="1" customFormat="1" ht="15.95" customHeight="1" x14ac:dyDescent="0.25"/>
    <row r="10179" s="1" customFormat="1" ht="15.95" customHeight="1" x14ac:dyDescent="0.25"/>
    <row r="10180" s="1" customFormat="1" ht="15.95" customHeight="1" x14ac:dyDescent="0.25"/>
    <row r="10181" s="1" customFormat="1" ht="15.95" customHeight="1" x14ac:dyDescent="0.25"/>
    <row r="10182" s="1" customFormat="1" ht="15.95" customHeight="1" x14ac:dyDescent="0.25"/>
    <row r="10183" s="1" customFormat="1" ht="15.95" customHeight="1" x14ac:dyDescent="0.25"/>
    <row r="10184" s="1" customFormat="1" ht="15.95" customHeight="1" x14ac:dyDescent="0.25"/>
    <row r="10185" s="1" customFormat="1" ht="15.95" customHeight="1" x14ac:dyDescent="0.25"/>
    <row r="10186" s="1" customFormat="1" ht="15.95" customHeight="1" x14ac:dyDescent="0.25"/>
    <row r="10187" s="1" customFormat="1" ht="15.95" customHeight="1" x14ac:dyDescent="0.25"/>
    <row r="10188" s="1" customFormat="1" ht="15.95" customHeight="1" x14ac:dyDescent="0.25"/>
    <row r="10189" s="1" customFormat="1" ht="15.95" customHeight="1" x14ac:dyDescent="0.25"/>
    <row r="10190" s="1" customFormat="1" ht="15.95" customHeight="1" x14ac:dyDescent="0.25"/>
    <row r="10191" s="1" customFormat="1" ht="15.95" customHeight="1" x14ac:dyDescent="0.25"/>
    <row r="10192" s="1" customFormat="1" ht="15.95" customHeight="1" x14ac:dyDescent="0.25"/>
    <row r="10193" s="1" customFormat="1" ht="15.95" customHeight="1" x14ac:dyDescent="0.25"/>
    <row r="10194" s="1" customFormat="1" ht="15.95" customHeight="1" x14ac:dyDescent="0.25"/>
    <row r="10195" s="1" customFormat="1" ht="15.95" customHeight="1" x14ac:dyDescent="0.25"/>
    <row r="10196" s="1" customFormat="1" ht="15.95" customHeight="1" x14ac:dyDescent="0.25"/>
    <row r="10197" s="1" customFormat="1" ht="15.95" customHeight="1" x14ac:dyDescent="0.25"/>
    <row r="10198" s="1" customFormat="1" ht="15.95" customHeight="1" x14ac:dyDescent="0.25"/>
    <row r="10199" s="1" customFormat="1" ht="15.95" customHeight="1" x14ac:dyDescent="0.25"/>
    <row r="10200" s="1" customFormat="1" ht="15.95" customHeight="1" x14ac:dyDescent="0.25"/>
    <row r="10201" s="1" customFormat="1" ht="15.95" customHeight="1" x14ac:dyDescent="0.25"/>
    <row r="10202" s="1" customFormat="1" ht="15.95" customHeight="1" x14ac:dyDescent="0.25"/>
    <row r="10203" s="1" customFormat="1" ht="15.95" customHeight="1" x14ac:dyDescent="0.25"/>
    <row r="10204" s="1" customFormat="1" ht="15.95" customHeight="1" x14ac:dyDescent="0.25"/>
    <row r="10205" s="1" customFormat="1" ht="15.95" customHeight="1" x14ac:dyDescent="0.25"/>
    <row r="10206" s="1" customFormat="1" ht="15.95" customHeight="1" x14ac:dyDescent="0.25"/>
    <row r="10207" s="1" customFormat="1" ht="15.95" customHeight="1" x14ac:dyDescent="0.25"/>
    <row r="10208" s="1" customFormat="1" ht="15.95" customHeight="1" x14ac:dyDescent="0.25"/>
    <row r="10209" s="1" customFormat="1" ht="15.95" customHeight="1" x14ac:dyDescent="0.25"/>
    <row r="10210" s="1" customFormat="1" ht="15.95" customHeight="1" x14ac:dyDescent="0.25"/>
    <row r="10211" s="1" customFormat="1" ht="15.95" customHeight="1" x14ac:dyDescent="0.25"/>
    <row r="10212" s="1" customFormat="1" ht="15.95" customHeight="1" x14ac:dyDescent="0.25"/>
    <row r="10213" s="1" customFormat="1" ht="15.95" customHeight="1" x14ac:dyDescent="0.25"/>
    <row r="10214" s="1" customFormat="1" ht="15.95" customHeight="1" x14ac:dyDescent="0.25"/>
    <row r="10215" s="1" customFormat="1" ht="15.95" customHeight="1" x14ac:dyDescent="0.25"/>
    <row r="10216" s="1" customFormat="1" ht="15.95" customHeight="1" x14ac:dyDescent="0.25"/>
    <row r="10217" s="1" customFormat="1" ht="15.95" customHeight="1" x14ac:dyDescent="0.25"/>
    <row r="10218" s="1" customFormat="1" ht="15.95" customHeight="1" x14ac:dyDescent="0.25"/>
    <row r="10219" s="1" customFormat="1" ht="15.95" customHeight="1" x14ac:dyDescent="0.25"/>
    <row r="10220" s="1" customFormat="1" ht="15.95" customHeight="1" x14ac:dyDescent="0.25"/>
    <row r="10221" s="1" customFormat="1" ht="15.95" customHeight="1" x14ac:dyDescent="0.25"/>
    <row r="10222" s="1" customFormat="1" ht="15.95" customHeight="1" x14ac:dyDescent="0.25"/>
    <row r="10223" s="1" customFormat="1" ht="15.95" customHeight="1" x14ac:dyDescent="0.25"/>
    <row r="10224" s="1" customFormat="1" ht="15.95" customHeight="1" x14ac:dyDescent="0.25"/>
    <row r="10225" s="1" customFormat="1" ht="15.95" customHeight="1" x14ac:dyDescent="0.25"/>
    <row r="10226" s="1" customFormat="1" ht="15.95" customHeight="1" x14ac:dyDescent="0.25"/>
    <row r="10227" s="1" customFormat="1" ht="15.95" customHeight="1" x14ac:dyDescent="0.25"/>
    <row r="10228" s="1" customFormat="1" ht="15.95" customHeight="1" x14ac:dyDescent="0.25"/>
    <row r="10229" s="1" customFormat="1" ht="15.95" customHeight="1" x14ac:dyDescent="0.25"/>
    <row r="10230" s="1" customFormat="1" ht="15.95" customHeight="1" x14ac:dyDescent="0.25"/>
    <row r="10231" s="1" customFormat="1" ht="15.95" customHeight="1" x14ac:dyDescent="0.25"/>
    <row r="10232" s="1" customFormat="1" ht="15.95" customHeight="1" x14ac:dyDescent="0.25"/>
    <row r="10233" s="1" customFormat="1" ht="15.95" customHeight="1" x14ac:dyDescent="0.25"/>
    <row r="10234" s="1" customFormat="1" ht="15.95" customHeight="1" x14ac:dyDescent="0.25"/>
    <row r="10235" s="1" customFormat="1" ht="15.95" customHeight="1" x14ac:dyDescent="0.25"/>
    <row r="10236" s="1" customFormat="1" ht="15.95" customHeight="1" x14ac:dyDescent="0.25"/>
    <row r="10237" s="1" customFormat="1" ht="15.95" customHeight="1" x14ac:dyDescent="0.25"/>
    <row r="10238" s="1" customFormat="1" ht="15.95" customHeight="1" x14ac:dyDescent="0.25"/>
    <row r="10239" s="1" customFormat="1" ht="15.95" customHeight="1" x14ac:dyDescent="0.25"/>
    <row r="10240" s="1" customFormat="1" ht="15.95" customHeight="1" x14ac:dyDescent="0.25"/>
    <row r="10241" s="1" customFormat="1" ht="15.95" customHeight="1" x14ac:dyDescent="0.25"/>
    <row r="10242" s="1" customFormat="1" ht="15.95" customHeight="1" x14ac:dyDescent="0.25"/>
    <row r="10243" s="1" customFormat="1" ht="15.95" customHeight="1" x14ac:dyDescent="0.25"/>
    <row r="10244" s="1" customFormat="1" ht="15.95" customHeight="1" x14ac:dyDescent="0.25"/>
    <row r="10245" s="1" customFormat="1" ht="15.95" customHeight="1" x14ac:dyDescent="0.25"/>
    <row r="10246" s="1" customFormat="1" ht="15.95" customHeight="1" x14ac:dyDescent="0.25"/>
    <row r="10247" s="1" customFormat="1" ht="15.95" customHeight="1" x14ac:dyDescent="0.25"/>
    <row r="10248" s="1" customFormat="1" ht="15.95" customHeight="1" x14ac:dyDescent="0.25"/>
    <row r="10249" s="1" customFormat="1" ht="15.95" customHeight="1" x14ac:dyDescent="0.25"/>
    <row r="10250" s="1" customFormat="1" ht="15.95" customHeight="1" x14ac:dyDescent="0.25"/>
    <row r="10251" s="1" customFormat="1" ht="15.95" customHeight="1" x14ac:dyDescent="0.25"/>
    <row r="10252" s="1" customFormat="1" ht="15.95" customHeight="1" x14ac:dyDescent="0.25"/>
    <row r="10253" s="1" customFormat="1" ht="15.95" customHeight="1" x14ac:dyDescent="0.25"/>
    <row r="10254" s="1" customFormat="1" ht="15.95" customHeight="1" x14ac:dyDescent="0.25"/>
    <row r="10255" s="1" customFormat="1" ht="15.95" customHeight="1" x14ac:dyDescent="0.25"/>
    <row r="10256" s="1" customFormat="1" ht="15.95" customHeight="1" x14ac:dyDescent="0.25"/>
    <row r="10257" s="1" customFormat="1" ht="15.95" customHeight="1" x14ac:dyDescent="0.25"/>
    <row r="10258" s="1" customFormat="1" ht="15.95" customHeight="1" x14ac:dyDescent="0.25"/>
    <row r="10259" s="1" customFormat="1" ht="15.95" customHeight="1" x14ac:dyDescent="0.25"/>
    <row r="10260" s="1" customFormat="1" ht="15.95" customHeight="1" x14ac:dyDescent="0.25"/>
    <row r="10261" s="1" customFormat="1" ht="15.95" customHeight="1" x14ac:dyDescent="0.25"/>
    <row r="10262" s="1" customFormat="1" ht="15.95" customHeight="1" x14ac:dyDescent="0.25"/>
    <row r="10263" s="1" customFormat="1" ht="15.95" customHeight="1" x14ac:dyDescent="0.25"/>
    <row r="10264" s="1" customFormat="1" ht="15.95" customHeight="1" x14ac:dyDescent="0.25"/>
    <row r="10265" s="1" customFormat="1" ht="15.95" customHeight="1" x14ac:dyDescent="0.25"/>
    <row r="10266" s="1" customFormat="1" ht="15.95" customHeight="1" x14ac:dyDescent="0.25"/>
    <row r="10267" s="1" customFormat="1" ht="15.95" customHeight="1" x14ac:dyDescent="0.25"/>
    <row r="10268" s="1" customFormat="1" ht="15.95" customHeight="1" x14ac:dyDescent="0.25"/>
    <row r="10269" s="1" customFormat="1" ht="15.95" customHeight="1" x14ac:dyDescent="0.25"/>
    <row r="10270" s="1" customFormat="1" ht="15.95" customHeight="1" x14ac:dyDescent="0.25"/>
    <row r="10271" s="1" customFormat="1" ht="15.95" customHeight="1" x14ac:dyDescent="0.25"/>
    <row r="10272" s="1" customFormat="1" ht="15.95" customHeight="1" x14ac:dyDescent="0.25"/>
    <row r="10273" s="1" customFormat="1" ht="15.95" customHeight="1" x14ac:dyDescent="0.25"/>
    <row r="10274" s="1" customFormat="1" ht="15.95" customHeight="1" x14ac:dyDescent="0.25"/>
    <row r="10275" s="1" customFormat="1" ht="15.95" customHeight="1" x14ac:dyDescent="0.25"/>
    <row r="10276" s="1" customFormat="1" ht="15.95" customHeight="1" x14ac:dyDescent="0.25"/>
    <row r="10277" s="1" customFormat="1" ht="15.95" customHeight="1" x14ac:dyDescent="0.25"/>
    <row r="10278" s="1" customFormat="1" ht="15.95" customHeight="1" x14ac:dyDescent="0.25"/>
    <row r="10279" s="1" customFormat="1" ht="15.95" customHeight="1" x14ac:dyDescent="0.25"/>
    <row r="10280" s="1" customFormat="1" ht="15.95" customHeight="1" x14ac:dyDescent="0.25"/>
    <row r="10281" s="1" customFormat="1" ht="15.95" customHeight="1" x14ac:dyDescent="0.25"/>
    <row r="10282" s="1" customFormat="1" ht="15.95" customHeight="1" x14ac:dyDescent="0.25"/>
    <row r="10283" s="1" customFormat="1" ht="15.95" customHeight="1" x14ac:dyDescent="0.25"/>
    <row r="10284" s="1" customFormat="1" ht="15.95" customHeight="1" x14ac:dyDescent="0.25"/>
    <row r="10285" s="1" customFormat="1" ht="15.95" customHeight="1" x14ac:dyDescent="0.25"/>
    <row r="10286" s="1" customFormat="1" ht="15.95" customHeight="1" x14ac:dyDescent="0.25"/>
    <row r="10287" s="1" customFormat="1" ht="15.95" customHeight="1" x14ac:dyDescent="0.25"/>
    <row r="10288" s="1" customFormat="1" ht="15.95" customHeight="1" x14ac:dyDescent="0.25"/>
    <row r="10289" s="1" customFormat="1" ht="15.95" customHeight="1" x14ac:dyDescent="0.25"/>
    <row r="10290" s="1" customFormat="1" ht="15.95" customHeight="1" x14ac:dyDescent="0.25"/>
    <row r="10291" s="1" customFormat="1" ht="15.95" customHeight="1" x14ac:dyDescent="0.25"/>
    <row r="10292" s="1" customFormat="1" ht="15.95" customHeight="1" x14ac:dyDescent="0.25"/>
    <row r="10293" s="1" customFormat="1" ht="15.95" customHeight="1" x14ac:dyDescent="0.25"/>
    <row r="10294" s="1" customFormat="1" ht="15.95" customHeight="1" x14ac:dyDescent="0.25"/>
    <row r="10295" s="1" customFormat="1" ht="15.95" customHeight="1" x14ac:dyDescent="0.25"/>
    <row r="10296" s="1" customFormat="1" ht="15.95" customHeight="1" x14ac:dyDescent="0.25"/>
    <row r="10297" s="1" customFormat="1" ht="15.95" customHeight="1" x14ac:dyDescent="0.25"/>
    <row r="10298" s="1" customFormat="1" ht="15.95" customHeight="1" x14ac:dyDescent="0.25"/>
    <row r="10299" s="1" customFormat="1" ht="15.95" customHeight="1" x14ac:dyDescent="0.25"/>
    <row r="10300" s="1" customFormat="1" ht="15.95" customHeight="1" x14ac:dyDescent="0.25"/>
    <row r="10301" s="1" customFormat="1" ht="15.95" customHeight="1" x14ac:dyDescent="0.25"/>
    <row r="10302" s="1" customFormat="1" ht="15.95" customHeight="1" x14ac:dyDescent="0.25"/>
    <row r="10303" s="1" customFormat="1" ht="15.95" customHeight="1" x14ac:dyDescent="0.25"/>
    <row r="10304" s="1" customFormat="1" ht="15.95" customHeight="1" x14ac:dyDescent="0.25"/>
    <row r="10305" s="1" customFormat="1" ht="15.95" customHeight="1" x14ac:dyDescent="0.25"/>
    <row r="10306" s="1" customFormat="1" ht="15.95" customHeight="1" x14ac:dyDescent="0.25"/>
    <row r="10307" s="1" customFormat="1" ht="15.95" customHeight="1" x14ac:dyDescent="0.25"/>
    <row r="10308" s="1" customFormat="1" ht="15.95" customHeight="1" x14ac:dyDescent="0.25"/>
    <row r="10309" s="1" customFormat="1" ht="15.95" customHeight="1" x14ac:dyDescent="0.25"/>
    <row r="10310" s="1" customFormat="1" ht="15.95" customHeight="1" x14ac:dyDescent="0.25"/>
    <row r="10311" s="1" customFormat="1" ht="15.95" customHeight="1" x14ac:dyDescent="0.25"/>
    <row r="10312" s="1" customFormat="1" ht="15.95" customHeight="1" x14ac:dyDescent="0.25"/>
    <row r="10313" s="1" customFormat="1" ht="15.95" customHeight="1" x14ac:dyDescent="0.25"/>
    <row r="10314" s="1" customFormat="1" ht="15.95" customHeight="1" x14ac:dyDescent="0.25"/>
    <row r="10315" s="1" customFormat="1" ht="15.95" customHeight="1" x14ac:dyDescent="0.25"/>
    <row r="10316" s="1" customFormat="1" ht="15.95" customHeight="1" x14ac:dyDescent="0.25"/>
    <row r="10317" s="1" customFormat="1" ht="15.95" customHeight="1" x14ac:dyDescent="0.25"/>
    <row r="10318" s="1" customFormat="1" ht="15.95" customHeight="1" x14ac:dyDescent="0.25"/>
    <row r="10319" s="1" customFormat="1" ht="15.95" customHeight="1" x14ac:dyDescent="0.25"/>
    <row r="10320" s="1" customFormat="1" ht="15.95" customHeight="1" x14ac:dyDescent="0.25"/>
    <row r="10321" s="1" customFormat="1" ht="15.95" customHeight="1" x14ac:dyDescent="0.25"/>
    <row r="10322" s="1" customFormat="1" ht="15.95" customHeight="1" x14ac:dyDescent="0.25"/>
    <row r="10323" s="1" customFormat="1" ht="15.95" customHeight="1" x14ac:dyDescent="0.25"/>
    <row r="10324" s="1" customFormat="1" ht="15.95" customHeight="1" x14ac:dyDescent="0.25"/>
    <row r="10325" s="1" customFormat="1" ht="15.95" customHeight="1" x14ac:dyDescent="0.25"/>
    <row r="10326" s="1" customFormat="1" ht="15.95" customHeight="1" x14ac:dyDescent="0.25"/>
    <row r="10327" s="1" customFormat="1" ht="15.95" customHeight="1" x14ac:dyDescent="0.25"/>
    <row r="10328" s="1" customFormat="1" ht="15.95" customHeight="1" x14ac:dyDescent="0.25"/>
    <row r="10329" s="1" customFormat="1" ht="15.95" customHeight="1" x14ac:dyDescent="0.25"/>
    <row r="10330" s="1" customFormat="1" ht="15.95" customHeight="1" x14ac:dyDescent="0.25"/>
    <row r="10331" s="1" customFormat="1" ht="15.95" customHeight="1" x14ac:dyDescent="0.25"/>
    <row r="10332" s="1" customFormat="1" ht="15.95" customHeight="1" x14ac:dyDescent="0.25"/>
    <row r="10333" s="1" customFormat="1" ht="15.95" customHeight="1" x14ac:dyDescent="0.25"/>
    <row r="10334" s="1" customFormat="1" ht="15.95" customHeight="1" x14ac:dyDescent="0.25"/>
    <row r="10335" s="1" customFormat="1" ht="15.95" customHeight="1" x14ac:dyDescent="0.25"/>
    <row r="10336" s="1" customFormat="1" ht="15.95" customHeight="1" x14ac:dyDescent="0.25"/>
    <row r="10337" s="1" customFormat="1" ht="15.95" customHeight="1" x14ac:dyDescent="0.25"/>
    <row r="10338" s="1" customFormat="1" ht="15.95" customHeight="1" x14ac:dyDescent="0.25"/>
    <row r="10339" s="1" customFormat="1" ht="15.95" customHeight="1" x14ac:dyDescent="0.25"/>
    <row r="10340" s="1" customFormat="1" ht="15.95" customHeight="1" x14ac:dyDescent="0.25"/>
    <row r="10341" s="1" customFormat="1" ht="15.95" customHeight="1" x14ac:dyDescent="0.25"/>
    <row r="10342" s="1" customFormat="1" ht="15.95" customHeight="1" x14ac:dyDescent="0.25"/>
    <row r="10343" s="1" customFormat="1" ht="15.95" customHeight="1" x14ac:dyDescent="0.25"/>
    <row r="10344" s="1" customFormat="1" ht="15.95" customHeight="1" x14ac:dyDescent="0.25"/>
    <row r="10345" s="1" customFormat="1" ht="15.95" customHeight="1" x14ac:dyDescent="0.25"/>
    <row r="10346" s="1" customFormat="1" ht="15.95" customHeight="1" x14ac:dyDescent="0.25"/>
    <row r="10347" s="1" customFormat="1" ht="15.95" customHeight="1" x14ac:dyDescent="0.25"/>
    <row r="10348" s="1" customFormat="1" ht="15.95" customHeight="1" x14ac:dyDescent="0.25"/>
  </sheetData>
  <mergeCells count="1">
    <mergeCell ref="F2:G2"/>
  </mergeCells>
  <printOptions horizontalCentered="1"/>
  <pageMargins left="0.2" right="0.2" top="0.25" bottom="0.25" header="0" footer="0"/>
  <pageSetup paperSize="9" fitToHeight="0"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HOME</vt:lpstr>
      <vt:lpstr>RESUMO_ORC_1_TRI_2014</vt:lpstr>
      <vt:lpstr>RESUMO_ORC_2_TRI_2014</vt:lpstr>
      <vt:lpstr>RESUMO_ORC_3_TRI_2014</vt:lpstr>
      <vt:lpstr>RESUMO_ORC_4_TRI_2014</vt:lpstr>
      <vt:lpstr>RES_ORC_1_SEM_2014</vt:lpstr>
      <vt:lpstr>RES_ORC_2_SEM_2014</vt:lpstr>
      <vt:lpstr>RESUMO_ORC_ANUAL_2014</vt:lpstr>
      <vt:lpstr>ORC_MENS_01_2014</vt:lpstr>
      <vt:lpstr>ORC_MENS_02_2014</vt:lpstr>
      <vt:lpstr>ORC_MENS_03_2014</vt:lpstr>
      <vt:lpstr>ORC_MENS_04_2014</vt:lpstr>
      <vt:lpstr>ORC_MENS_05_2014</vt:lpstr>
      <vt:lpstr>ORC_MENS_06_2014</vt:lpstr>
      <vt:lpstr>ORC_MENS_07_2014</vt:lpstr>
      <vt:lpstr>ORC_MENS_08_2014</vt:lpstr>
      <vt:lpstr>ORC_MENS_09_2014</vt:lpstr>
      <vt:lpstr>ORC_MENS_10_2014</vt:lpstr>
      <vt:lpstr>ORC_MENS_11_2014</vt:lpstr>
      <vt:lpstr>ORC_MENS_12_2014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Ray</cp:lastModifiedBy>
  <dcterms:created xsi:type="dcterms:W3CDTF">2014-08-17T22:01:50Z</dcterms:created>
  <dcterms:modified xsi:type="dcterms:W3CDTF">2018-01-05T10:38:53Z</dcterms:modified>
</cp:coreProperties>
</file>